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ilasto" sheetId="1" r:id="rId1"/>
    <sheet name="Ottelu 1" sheetId="2" r:id="rId2"/>
    <sheet name="Ottelu 2" sheetId="3" r:id="rId3"/>
    <sheet name="Ottelu 3" sheetId="4" r:id="rId4"/>
    <sheet name="apuri" sheetId="5" state="hidden" r:id="rId5"/>
    <sheet name="OHJE" sheetId="6" r:id="rId6"/>
  </sheets>
  <definedNames>
    <definedName name="_xlfn.COUNTIFS" hidden="1">#NAME?</definedName>
    <definedName name="_xlfn.IFERROR" hidden="1">#NAME?</definedName>
    <definedName name="_xlfn.SUMIFS" hidden="1">#NAME?</definedName>
    <definedName name="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localSheetId="1" comment="LIS?PELI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'OHJE'!$A$1:$A$29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'tilasto'!$A$1:$L$52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'tilasto'!$A$1:$L$52</definedName>
  </definedNames>
  <calcPr fullCalcOnLoad="1"/>
</workbook>
</file>

<file path=xl/sharedStrings.xml><?xml version="1.0" encoding="utf-8"?>
<sst xmlns="http://schemas.openxmlformats.org/spreadsheetml/2006/main" count="875" uniqueCount="119">
  <si>
    <t>Nimi:</t>
  </si>
  <si>
    <t>erä</t>
  </si>
  <si>
    <t>pelaaja</t>
  </si>
  <si>
    <t>Tiedot antoi:</t>
  </si>
  <si>
    <t>1 Divisioona</t>
  </si>
  <si>
    <t>2 Divisioona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</si>
  <si>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</si>
  <si>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</si>
  <si>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</si>
  <si>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</si>
  <si>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</si>
  <si>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</si>
  <si>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</si>
  <si>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Huomautuksia</t>
  </si>
  <si>
    <t>Olemme tarkastaneet ottelupöytäkirjat ja hyväksymme ne</t>
  </si>
  <si>
    <t>kapteeni</t>
  </si>
  <si>
    <t>(</t>
  </si>
  <si>
    <t>)</t>
  </si>
  <si>
    <t>Aika:</t>
  </si>
  <si>
    <t>/</t>
  </si>
  <si>
    <t>Miehet</t>
  </si>
  <si>
    <t>Naiset</t>
  </si>
  <si>
    <t>Mestaruus</t>
  </si>
  <si>
    <t>Kierros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</si>
  <si>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</si>
  <si>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</si>
  <si>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</si>
  <si>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</si>
  <si>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</si>
  <si>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</si>
  <si>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</si>
  <si>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</si>
  <si>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</si>
  <si>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</si>
  <si>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</si>
  <si>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</si>
  <si>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</si>
  <si>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</si>
  <si>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</si>
  <si>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</si>
  <si>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</si>
  <si>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</si>
  <si>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</si>
  <si>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</si>
  <si>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</si>
  <si>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</si>
  <si>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</si>
  <si>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</si>
  <si>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</si>
  <si>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</si>
  <si>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</si>
  <si>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 xml:space="preserve">           SM-LIIGA</t>
  </si>
  <si>
    <t xml:space="preserve">           OTTELUPÖYTÄKIRJA  A</t>
  </si>
  <si>
    <t>SM-LIIGA</t>
  </si>
  <si>
    <t>- HUOMIOI: MIEHET/NAISET-RUUTU, OHJELMA JÄRJESTÄÄ PELAAJAT SEN MUKAISEEN JÄRJESTYKSEEN KUMPAA SARJAA PELATAAN.</t>
  </si>
  <si>
    <t>- Sininen nuoli ylöspäin vie sinut takaisin pöytäkirjaan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</si>
  <si>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</si>
  <si>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</si>
  <si>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</si>
  <si>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</si>
  <si>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</si>
  <si>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</si>
  <si>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</si>
  <si>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</si>
  <si>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</si>
  <si>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</si>
  <si>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</si>
  <si>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</si>
  <si>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</si>
  <si>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</si>
  <si>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</si>
  <si>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</si>
  <si>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</si>
  <si>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</si>
  <si>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</si>
  <si>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Sarjatiedot: rasti ruutuun(mestaruus,1 divisioona vai 2-divisioona / miehet vai naiset)</t>
  </si>
  <si>
    <t>- Kierros sekä lohkonumero</t>
  </si>
  <si>
    <t>- Jokaisen ottelun, myös lisäpelin kohdalla pöytäkirjasta löytyy numero(lisäpelissä L-kirjain). Klikkaamalla sitä pääset taulukkoon, jossa voi syöttää kyseisen matsin tietoja kuten:</t>
  </si>
  <si>
    <t>- Jos joukkue pelaa vajaalla, joku joukkueesta luovuttaa pelinsä,tai kummatkin joukkueet pelaavat vajaalla !!</t>
  </si>
  <si>
    <t>kotijoukkue</t>
  </si>
  <si>
    <t>joukkue 3</t>
  </si>
  <si>
    <t>Syötä tilasto-välilehdellä sijaitsevaan pöytäkirjaan seuraavat tiedot:</t>
  </si>
  <si>
    <t>- KAIKKI KYSEISEN KIERROKSEN PELAAJAT JOUKKUEITTAIN</t>
  </si>
  <si>
    <t>(järjestys vapaa, nämä ovat niitä nimiä jotka valitaan myöhemmin kun valitaan pelaajat otteluihin)</t>
  </si>
  <si>
    <t xml:space="preserve">Jos haluat tulostaa koko ottelun kaikki pelit ja erät, niin laita täppä kohtaan "ohita tulostusalueasetukset". 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</si>
  <si>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</si>
  <si>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</si>
  <si>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</si>
  <si>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Pelaajien nimien valitseminen pöytäkirjaan  (puuttuvan pelaajan kohdan voi jättää tyhjäksi)</t>
  </si>
  <si>
    <t>- Lopuksi tarkista "tilastot"-välilehdellä oleva dokumentti. Jos huomaat virheitä, voit käydä korjaamassa niitä pöytäkirjoissa. Tilasto päivittyy automaattisesti keskiarvojen yms. osalta.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</si>
  <si>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</si>
  <si>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</si>
  <si>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Huom! Ottelupöytäkirja palautetaan hetimiten:</t>
  </si>
  <si>
    <t>Huom! Ottelupöytäkirja palautetaan:</t>
  </si>
  <si>
    <t>sähköposti liigasihteeri.sdl@gmail.com</t>
  </si>
  <si>
    <t>Pub Grönan, Hanko</t>
  </si>
  <si>
    <t>15</t>
  </si>
  <si>
    <t>Grönan DC 2</t>
  </si>
  <si>
    <t>Kukon Tikka 3</t>
  </si>
  <si>
    <t>Satatikka 2</t>
  </si>
  <si>
    <t>Jarno Aho</t>
  </si>
  <si>
    <t>0407052152</t>
  </si>
  <si>
    <t>Sakari Kinnunen</t>
  </si>
  <si>
    <t>Tobias Lindholm</t>
  </si>
  <si>
    <t>Tony Nyholm</t>
  </si>
  <si>
    <t>Mikael Nyholm</t>
  </si>
  <si>
    <t>Björn Huldin</t>
  </si>
  <si>
    <t>Jyri Vesalainen</t>
  </si>
  <si>
    <t>Olli-Pekka Kallioniemi</t>
  </si>
  <si>
    <t>Kari Laine</t>
  </si>
  <si>
    <t>Ari Heinonen</t>
  </si>
  <si>
    <t>Rami Mondolin</t>
  </si>
  <si>
    <t>Tomi Aaltonen</t>
  </si>
  <si>
    <t>Seppo Makkonen</t>
  </si>
  <si>
    <t>Jouni I. Kataja</t>
  </si>
  <si>
    <t>Sakari Kinnunen 116 POX</t>
  </si>
  <si>
    <t>Tomi Aaltonen 180</t>
  </si>
  <si>
    <t>Sakari Kinnunen 180</t>
  </si>
  <si>
    <t>Ari Heinonen 180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</si>
</sst>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0"/>
    <numFmt numFmtId="181" formatCode="0.0000"/>
    <numFmt numFmtId="182" formatCode="0.000000"/>
    <numFmt numFmtId="183" formatCode="0.000"/>
    <numFmt numFmtId="184" formatCode="0.0"/>
    <numFmt numFmtId="185" formatCode="[$-40B]d\.\ mmmm&quot;ta &quot;yyyy"/>
    <numFmt numFmtId="186" formatCode="d\.m\.yyyy;@"/>
    <numFmt numFmtId="187" formatCode="[$-40B]d\.\ mmmm\t\a\ yyyy;@"/>
    <numFmt numFmtId="188" formatCode="0\x\ &quot;180&quot;"/>
    <numFmt numFmtId="189" formatCode="[$-F800]dddd\,\ mmmm\ dd\,\ yyyy"/>
    <numFmt numFmtId="190" formatCode="[$-40B]mmmmm;@"/>
  </numFmts>
  <fonts count="10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34"/>
      <color indexed="9"/>
      <name val="Arial Black"/>
      <family val="2"/>
    </font>
    <font>
      <b/>
      <sz val="14"/>
      <color indexed="12"/>
      <name val="Arial"/>
      <family val="2"/>
    </font>
    <font>
      <b/>
      <u val="single"/>
      <sz val="11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2" applyNumberFormat="0" applyAlignment="0" applyProtection="0"/>
    <xf numFmtId="0" fontId="71" fillId="0" borderId="3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31" borderId="2" applyNumberFormat="0" applyAlignment="0" applyProtection="0"/>
    <xf numFmtId="0" fontId="80" fillId="32" borderId="8" applyNumberFormat="0" applyAlignment="0" applyProtection="0"/>
    <xf numFmtId="0" fontId="81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0" fontId="4" fillId="0" borderId="0" xfId="47" applyFont="1">
      <alignment/>
      <protection/>
    </xf>
    <xf numFmtId="0" fontId="3" fillId="0" borderId="0" xfId="47" applyFont="1" applyProtection="1">
      <alignment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0" borderId="11" xfId="47" applyFont="1" applyBorder="1" applyAlignment="1">
      <alignment horizontal="left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Border="1">
      <alignment/>
      <protection/>
    </xf>
    <xf numFmtId="0" fontId="7" fillId="0" borderId="0" xfId="47" applyFont="1">
      <alignment/>
      <protection/>
    </xf>
    <xf numFmtId="49" fontId="3" fillId="0" borderId="0" xfId="47" applyNumberFormat="1" applyFont="1" applyBorder="1" applyAlignment="1">
      <alignment horizontal="center"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0" xfId="47" applyNumberFormat="1" applyFont="1" applyBorder="1">
      <alignment/>
      <protection/>
    </xf>
    <xf numFmtId="49" fontId="3" fillId="0" borderId="0" xfId="47" applyNumberFormat="1" applyFont="1" applyFill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top"/>
    </xf>
    <xf numFmtId="0" fontId="5" fillId="0" borderId="0" xfId="47" applyFont="1" applyBorder="1" applyAlignment="1">
      <alignment horizontal="right"/>
      <protection/>
    </xf>
    <xf numFmtId="49" fontId="5" fillId="0" borderId="0" xfId="47" applyNumberFormat="1" applyFont="1" applyFill="1" applyBorder="1" applyAlignment="1">
      <alignment vertical="top"/>
      <protection/>
    </xf>
    <xf numFmtId="0" fontId="5" fillId="0" borderId="0" xfId="47" applyFont="1" applyBorder="1" applyAlignment="1" applyProtection="1">
      <alignment/>
      <protection/>
    </xf>
    <xf numFmtId="0" fontId="5" fillId="0" borderId="0" xfId="47" applyFont="1" applyBorder="1" applyAlignment="1">
      <alignment horizontal="right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 applyProtection="1">
      <alignment horizontal="right"/>
      <protection/>
    </xf>
    <xf numFmtId="0" fontId="11" fillId="0" borderId="0" xfId="47" applyFont="1" applyBorder="1" applyAlignment="1" applyProtection="1">
      <alignment horizontal="left"/>
      <protection/>
    </xf>
    <xf numFmtId="0" fontId="11" fillId="0" borderId="12" xfId="47" applyFont="1" applyBorder="1" applyAlignment="1" applyProtection="1">
      <alignment horizontal="center" vertical="center"/>
      <protection locked="0"/>
    </xf>
    <xf numFmtId="0" fontId="3" fillId="33" borderId="0" xfId="47" applyFont="1" applyFill="1">
      <alignment/>
      <protection/>
    </xf>
    <xf numFmtId="1" fontId="11" fillId="0" borderId="0" xfId="47" applyNumberFormat="1" applyFont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0" fontId="7" fillId="0" borderId="0" xfId="47" applyFont="1" applyBorder="1">
      <alignment/>
      <protection/>
    </xf>
    <xf numFmtId="49" fontId="7" fillId="0" borderId="0" xfId="47" applyNumberFormat="1" applyFont="1" applyBorder="1" applyAlignment="1">
      <alignment horizontal="center"/>
      <protection/>
    </xf>
    <xf numFmtId="49" fontId="7" fillId="0" borderId="0" xfId="47" applyNumberFormat="1" applyFont="1" applyBorder="1">
      <alignment/>
      <protection/>
    </xf>
    <xf numFmtId="188" fontId="0" fillId="0" borderId="0" xfId="47" applyNumberFormat="1" applyFont="1" applyBorder="1" applyAlignment="1">
      <alignment horizontal="left"/>
      <protection/>
    </xf>
    <xf numFmtId="0" fontId="5" fillId="0" borderId="10" xfId="47" applyFont="1" applyBorder="1" applyAlignment="1" applyProtection="1">
      <alignment horizontal="center"/>
      <protection/>
    </xf>
    <xf numFmtId="0" fontId="5" fillId="0" borderId="0" xfId="47" applyFont="1" applyBorder="1" applyAlignment="1" applyProtection="1">
      <alignment horizontal="center"/>
      <protection/>
    </xf>
    <xf numFmtId="49" fontId="83" fillId="34" borderId="12" xfId="42" applyNumberFormat="1" applyFont="1" applyFill="1" applyBorder="1" applyAlignment="1" applyProtection="1">
      <alignment horizontal="center" vertical="center"/>
      <protection locked="0"/>
    </xf>
    <xf numFmtId="49" fontId="13" fillId="0" borderId="0" xfId="47" applyNumberFormat="1" applyFont="1" applyBorder="1" applyAlignment="1">
      <alignment horizontal="center"/>
      <protection/>
    </xf>
    <xf numFmtId="0" fontId="3" fillId="33" borderId="0" xfId="47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84" fillId="0" borderId="0" xfId="0" applyNumberFormat="1" applyFont="1" applyFill="1" applyAlignment="1">
      <alignment horizontal="center"/>
    </xf>
    <xf numFmtId="0" fontId="84" fillId="0" borderId="0" xfId="0" applyNumberFormat="1" applyFont="1" applyFill="1" applyAlignment="1">
      <alignment/>
    </xf>
    <xf numFmtId="0" fontId="8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86" fillId="0" borderId="0" xfId="47" applyFont="1">
      <alignment/>
      <protection/>
    </xf>
    <xf numFmtId="0" fontId="5" fillId="0" borderId="0" xfId="47" applyFont="1" applyBorder="1" applyAlignment="1" applyProtection="1">
      <alignment horizontal="right" vertical="center"/>
      <protection/>
    </xf>
    <xf numFmtId="49" fontId="11" fillId="0" borderId="0" xfId="47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0" fontId="3" fillId="0" borderId="0" xfId="47" applyFont="1" applyBorder="1" applyProtection="1">
      <alignment/>
      <protection hidden="1"/>
    </xf>
    <xf numFmtId="0" fontId="3" fillId="0" borderId="0" xfId="47" applyFont="1" applyBorder="1" applyAlignment="1" applyProtection="1">
      <alignment horizontal="right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5" fillId="0" borderId="0" xfId="47" applyFont="1" applyBorder="1" applyAlignment="1" applyProtection="1">
      <alignment horizontal="right"/>
      <protection hidden="1"/>
    </xf>
    <xf numFmtId="49" fontId="11" fillId="0" borderId="0" xfId="47" applyNumberFormat="1" applyFont="1" applyBorder="1" applyAlignment="1" applyProtection="1">
      <alignment horizontal="center"/>
      <protection/>
    </xf>
    <xf numFmtId="0" fontId="11" fillId="0" borderId="0" xfId="47" applyNumberFormat="1" applyFont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 vertical="top"/>
      <protection/>
    </xf>
    <xf numFmtId="0" fontId="86" fillId="0" borderId="0" xfId="47" applyFont="1" applyBorder="1" applyProtection="1">
      <alignment/>
      <protection/>
    </xf>
    <xf numFmtId="0" fontId="86" fillId="0" borderId="0" xfId="47" applyFont="1" applyBorder="1">
      <alignment/>
      <protection/>
    </xf>
    <xf numFmtId="0" fontId="84" fillId="0" borderId="0" xfId="47" applyFont="1" applyBorder="1" applyAlignment="1">
      <alignment/>
      <protection/>
    </xf>
    <xf numFmtId="0" fontId="88" fillId="0" borderId="0" xfId="47" applyFont="1" applyBorder="1">
      <alignment/>
      <protection/>
    </xf>
    <xf numFmtId="188" fontId="84" fillId="0" borderId="0" xfId="47" applyNumberFormat="1" applyFont="1" applyBorder="1" applyAlignment="1">
      <alignment horizontal="left"/>
      <protection/>
    </xf>
    <xf numFmtId="0" fontId="0" fillId="0" borderId="0" xfId="47" applyFont="1" applyBorder="1">
      <alignment/>
      <protection/>
    </xf>
    <xf numFmtId="0" fontId="89" fillId="0" borderId="0" xfId="47" applyFont="1" applyBorder="1" applyProtection="1">
      <alignment/>
      <protection hidden="1" locked="0"/>
    </xf>
    <xf numFmtId="0" fontId="4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6" fillId="0" borderId="0" xfId="47" applyFont="1" applyBorder="1" applyAlignment="1">
      <alignment horizontal="center" vertical="center"/>
      <protection/>
    </xf>
    <xf numFmtId="0" fontId="87" fillId="33" borderId="0" xfId="0" applyFont="1" applyFill="1" applyAlignment="1">
      <alignment horizontal="center"/>
    </xf>
    <xf numFmtId="0" fontId="87" fillId="33" borderId="0" xfId="0" applyFont="1" applyFill="1" applyBorder="1" applyAlignment="1">
      <alignment horizontal="center" vertical="top"/>
    </xf>
    <xf numFmtId="0" fontId="86" fillId="33" borderId="0" xfId="47" applyFont="1" applyFill="1" applyBorder="1">
      <alignment/>
      <protection/>
    </xf>
    <xf numFmtId="0" fontId="86" fillId="33" borderId="0" xfId="47" applyFont="1" applyFill="1">
      <alignment/>
      <protection/>
    </xf>
    <xf numFmtId="0" fontId="89" fillId="33" borderId="0" xfId="47" applyFont="1" applyFill="1">
      <alignment/>
      <protection/>
    </xf>
    <xf numFmtId="0" fontId="86" fillId="33" borderId="0" xfId="47" applyFont="1" applyFill="1" applyProtection="1">
      <alignment/>
      <protection/>
    </xf>
    <xf numFmtId="0" fontId="88" fillId="33" borderId="0" xfId="47" applyFont="1" applyFill="1">
      <alignment/>
      <protection/>
    </xf>
    <xf numFmtId="0" fontId="90" fillId="33" borderId="0" xfId="47" applyFont="1" applyFill="1">
      <alignment/>
      <protection/>
    </xf>
    <xf numFmtId="0" fontId="86" fillId="33" borderId="0" xfId="47" applyFont="1" applyFill="1" applyBorder="1" applyProtection="1">
      <alignment/>
      <protection/>
    </xf>
    <xf numFmtId="0" fontId="86" fillId="33" borderId="0" xfId="47" applyFont="1" applyFill="1" applyAlignment="1">
      <alignment/>
      <protection/>
    </xf>
    <xf numFmtId="49" fontId="86" fillId="33" borderId="0" xfId="47" applyNumberFormat="1" applyFont="1" applyFill="1">
      <alignment/>
      <protection/>
    </xf>
    <xf numFmtId="0" fontId="86" fillId="33" borderId="0" xfId="47" applyFont="1" applyFill="1" applyProtection="1">
      <alignment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3" fillId="33" borderId="12" xfId="47" applyFont="1" applyFill="1" applyBorder="1" applyAlignment="1" applyProtection="1">
      <alignment horizontal="center" vertical="center"/>
      <protection locked="0"/>
    </xf>
    <xf numFmtId="0" fontId="86" fillId="33" borderId="0" xfId="47" applyFont="1" applyFill="1" applyAlignment="1">
      <alignment horizontal="center" vertical="center"/>
      <protection/>
    </xf>
    <xf numFmtId="49" fontId="3" fillId="33" borderId="0" xfId="47" applyNumberFormat="1" applyFont="1" applyFill="1" applyBorder="1">
      <alignment/>
      <protection/>
    </xf>
    <xf numFmtId="0" fontId="86" fillId="33" borderId="0" xfId="47" applyFont="1" applyFill="1" applyBorder="1" applyAlignment="1">
      <alignment horizontal="center" vertical="center"/>
      <protection/>
    </xf>
    <xf numFmtId="0" fontId="91" fillId="33" borderId="0" xfId="47" applyFont="1" applyFill="1">
      <alignment/>
      <protection/>
    </xf>
    <xf numFmtId="0" fontId="3" fillId="33" borderId="0" xfId="47" applyFont="1" applyFill="1" applyBorder="1" applyAlignment="1">
      <alignment horizontal="center" vertical="center"/>
      <protection/>
    </xf>
    <xf numFmtId="1" fontId="3" fillId="33" borderId="12" xfId="47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center"/>
    </xf>
    <xf numFmtId="49" fontId="86" fillId="33" borderId="0" xfId="47" applyNumberFormat="1" applyFont="1" applyFill="1" applyBorder="1">
      <alignment/>
      <protection/>
    </xf>
    <xf numFmtId="49" fontId="0" fillId="0" borderId="0" xfId="47" applyNumberFormat="1" applyFont="1" applyBorder="1">
      <alignment/>
      <protection/>
    </xf>
    <xf numFmtId="0" fontId="3" fillId="0" borderId="0" xfId="47" applyFont="1" applyBorder="1" applyAlignment="1">
      <alignment/>
      <protection/>
    </xf>
    <xf numFmtId="0" fontId="1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49" fontId="92" fillId="33" borderId="0" xfId="0" applyNumberFormat="1" applyFont="1" applyFill="1" applyBorder="1" applyAlignment="1">
      <alignment horizontal="center"/>
    </xf>
    <xf numFmtId="0" fontId="3" fillId="0" borderId="0" xfId="47" applyFont="1" applyFill="1" applyBorder="1">
      <alignment/>
      <protection/>
    </xf>
    <xf numFmtId="0" fontId="4" fillId="33" borderId="10" xfId="47" applyNumberFormat="1" applyFont="1" applyFill="1" applyBorder="1" applyAlignment="1" applyProtection="1">
      <alignment horizontal="center"/>
      <protection/>
    </xf>
    <xf numFmtId="0" fontId="5" fillId="33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top"/>
    </xf>
    <xf numFmtId="0" fontId="5" fillId="0" borderId="0" xfId="47" applyFont="1" applyFill="1" applyBorder="1" applyAlignment="1" applyProtection="1">
      <alignment horizontal="right" vertical="center"/>
      <protection/>
    </xf>
    <xf numFmtId="0" fontId="3" fillId="0" borderId="0" xfId="47" applyFont="1" applyFill="1" applyBorder="1" applyProtection="1">
      <alignment/>
      <protection/>
    </xf>
    <xf numFmtId="49" fontId="11" fillId="0" borderId="0" xfId="47" applyNumberFormat="1" applyFont="1" applyFill="1" applyBorder="1" applyAlignment="1" applyProtection="1">
      <alignment horizontal="center" vertical="center"/>
      <protection/>
    </xf>
    <xf numFmtId="0" fontId="3" fillId="0" borderId="0" xfId="47" applyNumberFormat="1" applyFont="1" applyFill="1" applyBorder="1" applyAlignment="1" applyProtection="1">
      <alignment horizontal="center"/>
      <protection/>
    </xf>
    <xf numFmtId="0" fontId="11" fillId="0" borderId="0" xfId="47" applyNumberFormat="1" applyFon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>
      <alignment horizontal="right"/>
      <protection/>
    </xf>
    <xf numFmtId="49" fontId="6" fillId="0" borderId="0" xfId="4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" fontId="0" fillId="0" borderId="0" xfId="0" applyNumberForma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0" xfId="47" applyFont="1" applyFill="1" applyBorder="1" applyAlignment="1">
      <alignment horizontal="center" textRotation="90"/>
      <protection/>
    </xf>
    <xf numFmtId="1" fontId="8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" fontId="84" fillId="0" borderId="0" xfId="0" applyNumberFormat="1" applyFont="1" applyFill="1" applyBorder="1" applyAlignment="1">
      <alignment/>
    </xf>
    <xf numFmtId="0" fontId="84" fillId="0" borderId="0" xfId="0" applyNumberFormat="1" applyFont="1" applyFill="1" applyBorder="1" applyAlignment="1">
      <alignment/>
    </xf>
    <xf numFmtId="1" fontId="3" fillId="33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47" applyNumberFormat="1" applyFont="1" applyBorder="1" applyAlignment="1" applyProtection="1">
      <alignment horizontal="center"/>
      <protection hidden="1"/>
    </xf>
    <xf numFmtId="49" fontId="11" fillId="0" borderId="0" xfId="47" applyNumberFormat="1" applyFont="1" applyBorder="1" applyAlignment="1" applyProtection="1">
      <alignment horizontal="center"/>
      <protection hidden="1"/>
    </xf>
    <xf numFmtId="49" fontId="5" fillId="0" borderId="14" xfId="0" applyNumberFormat="1" applyFont="1" applyFill="1" applyBorder="1" applyAlignment="1" applyProtection="1">
      <alignment horizontal="left" wrapText="1" indent="1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2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1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83" fillId="34" borderId="0" xfId="42" applyNumberFormat="1" applyFont="1" applyFill="1" applyBorder="1" applyAlignment="1" applyProtection="1">
      <alignment horizontal="center" vertical="center"/>
      <protection/>
    </xf>
    <xf numFmtId="49" fontId="93" fillId="34" borderId="0" xfId="42" applyNumberFormat="1" applyFont="1" applyFill="1" applyBorder="1" applyAlignment="1" applyProtection="1">
      <alignment vertical="center" textRotation="90"/>
      <protection/>
    </xf>
    <xf numFmtId="0" fontId="4" fillId="0" borderId="10" xfId="47" applyFont="1" applyBorder="1">
      <alignment/>
      <protection/>
    </xf>
    <xf numFmtId="49" fontId="7" fillId="0" borderId="0" xfId="47" applyNumberFormat="1" applyFont="1" applyBorder="1" applyProtection="1">
      <alignment/>
      <protection/>
    </xf>
    <xf numFmtId="0" fontId="84" fillId="33" borderId="0" xfId="47" applyFont="1" applyFill="1" applyBorder="1" applyAlignment="1">
      <alignment horizontal="center"/>
      <protection/>
    </xf>
    <xf numFmtId="0" fontId="3" fillId="33" borderId="23" xfId="47" applyFont="1" applyFill="1" applyBorder="1">
      <alignment/>
      <protection/>
    </xf>
    <xf numFmtId="0" fontId="3" fillId="33" borderId="24" xfId="47" applyFont="1" applyFill="1" applyBorder="1">
      <alignment/>
      <protection/>
    </xf>
    <xf numFmtId="49" fontId="3" fillId="33" borderId="25" xfId="47" applyNumberFormat="1" applyFont="1" applyFill="1" applyBorder="1">
      <alignment/>
      <protection/>
    </xf>
    <xf numFmtId="0" fontId="3" fillId="33" borderId="24" xfId="47" applyFont="1" applyFill="1" applyBorder="1" applyAlignment="1">
      <alignment horizontal="right"/>
      <protection/>
    </xf>
    <xf numFmtId="0" fontId="3" fillId="33" borderId="26" xfId="47" applyFont="1" applyFill="1" applyBorder="1">
      <alignment/>
      <protection/>
    </xf>
    <xf numFmtId="0" fontId="3" fillId="33" borderId="27" xfId="47" applyFont="1" applyFill="1" applyBorder="1">
      <alignment/>
      <protection/>
    </xf>
    <xf numFmtId="0" fontId="86" fillId="33" borderId="28" xfId="47" applyFont="1" applyFill="1" applyBorder="1">
      <alignment/>
      <protection/>
    </xf>
    <xf numFmtId="0" fontId="86" fillId="33" borderId="29" xfId="47" applyFont="1" applyFill="1" applyBorder="1">
      <alignment/>
      <protection/>
    </xf>
    <xf numFmtId="0" fontId="3" fillId="33" borderId="29" xfId="47" applyFont="1" applyFill="1" applyBorder="1">
      <alignment/>
      <protection/>
    </xf>
    <xf numFmtId="49" fontId="86" fillId="33" borderId="29" xfId="47" applyNumberFormat="1" applyFont="1" applyFill="1" applyBorder="1">
      <alignment/>
      <protection/>
    </xf>
    <xf numFmtId="0" fontId="86" fillId="33" borderId="30" xfId="47" applyFont="1" applyFill="1" applyBorder="1">
      <alignment/>
      <protection/>
    </xf>
    <xf numFmtId="49" fontId="3" fillId="33" borderId="23" xfId="47" applyNumberFormat="1" applyFont="1" applyFill="1" applyBorder="1">
      <alignment/>
      <protection/>
    </xf>
    <xf numFmtId="49" fontId="3" fillId="33" borderId="26" xfId="47" applyNumberFormat="1" applyFont="1" applyFill="1" applyBorder="1">
      <alignment/>
      <protection/>
    </xf>
    <xf numFmtId="49" fontId="0" fillId="33" borderId="26" xfId="47" applyNumberFormat="1" applyFont="1" applyFill="1" applyBorder="1" applyAlignment="1">
      <alignment horizontal="center"/>
      <protection/>
    </xf>
    <xf numFmtId="49" fontId="86" fillId="33" borderId="28" xfId="47" applyNumberFormat="1" applyFont="1" applyFill="1" applyBorder="1">
      <alignment/>
      <protection/>
    </xf>
    <xf numFmtId="0" fontId="3" fillId="33" borderId="0" xfId="47" applyFont="1" applyFill="1" applyBorder="1" applyAlignment="1">
      <alignment vertical="center"/>
      <protection/>
    </xf>
    <xf numFmtId="0" fontId="1" fillId="33" borderId="0" xfId="47" applyFont="1" applyFill="1" applyBorder="1" applyAlignment="1">
      <alignment horizontal="right"/>
      <protection/>
    </xf>
    <xf numFmtId="0" fontId="3" fillId="33" borderId="28" xfId="47" applyFont="1" applyFill="1" applyBorder="1">
      <alignment/>
      <protection/>
    </xf>
    <xf numFmtId="0" fontId="3" fillId="33" borderId="29" xfId="47" applyFont="1" applyFill="1" applyBorder="1" applyAlignment="1">
      <alignment horizontal="center" vertical="center"/>
      <protection/>
    </xf>
    <xf numFmtId="49" fontId="3" fillId="33" borderId="28" xfId="47" applyNumberFormat="1" applyFont="1" applyFill="1" applyBorder="1">
      <alignment/>
      <protection/>
    </xf>
    <xf numFmtId="49" fontId="3" fillId="33" borderId="29" xfId="47" applyNumberFormat="1" applyFont="1" applyFill="1" applyBorder="1">
      <alignment/>
      <protection/>
    </xf>
    <xf numFmtId="0" fontId="3" fillId="33" borderId="30" xfId="47" applyFont="1" applyFill="1" applyBorder="1">
      <alignment/>
      <protection/>
    </xf>
    <xf numFmtId="0" fontId="86" fillId="33" borderId="29" xfId="47" applyFont="1" applyFill="1" applyBorder="1" applyProtection="1">
      <alignment/>
      <protection hidden="1" locked="0"/>
    </xf>
    <xf numFmtId="0" fontId="0" fillId="33" borderId="27" xfId="47" applyFont="1" applyFill="1" applyBorder="1" applyAlignment="1">
      <alignment horizontal="center"/>
      <protection/>
    </xf>
    <xf numFmtId="0" fontId="0" fillId="33" borderId="29" xfId="0" applyFill="1" applyBorder="1" applyAlignment="1">
      <alignment horizontal="center" vertical="center"/>
    </xf>
    <xf numFmtId="0" fontId="86" fillId="33" borderId="29" xfId="47" applyFont="1" applyFill="1" applyBorder="1" applyAlignment="1">
      <alignment horizontal="center" vertical="center"/>
      <protection/>
    </xf>
    <xf numFmtId="0" fontId="86" fillId="33" borderId="31" xfId="47" applyFont="1" applyFill="1" applyBorder="1">
      <alignment/>
      <protection/>
    </xf>
    <xf numFmtId="0" fontId="86" fillId="33" borderId="27" xfId="47" applyFont="1" applyFill="1" applyBorder="1">
      <alignment/>
      <protection/>
    </xf>
    <xf numFmtId="0" fontId="84" fillId="33" borderId="27" xfId="47" applyFont="1" applyFill="1" applyBorder="1" applyAlignment="1">
      <alignment horizontal="center"/>
      <protection/>
    </xf>
    <xf numFmtId="0" fontId="86" fillId="33" borderId="27" xfId="47" applyFont="1" applyFill="1" applyBorder="1" applyAlignment="1">
      <alignment horizontal="center" vertical="center"/>
      <protection/>
    </xf>
    <xf numFmtId="0" fontId="86" fillId="33" borderId="25" xfId="47" applyFont="1" applyFill="1" applyBorder="1">
      <alignment/>
      <protection/>
    </xf>
    <xf numFmtId="0" fontId="86" fillId="33" borderId="0" xfId="47" applyFont="1" applyFill="1" applyBorder="1" applyAlignment="1" applyProtection="1">
      <alignment horizontal="center" vertical="center"/>
      <protection/>
    </xf>
    <xf numFmtId="49" fontId="86" fillId="33" borderId="0" xfId="47" applyNumberFormat="1" applyFont="1" applyFill="1" applyBorder="1" applyProtection="1">
      <alignment/>
      <protection/>
    </xf>
    <xf numFmtId="0" fontId="86" fillId="33" borderId="0" xfId="47" applyFont="1" applyFill="1" applyBorder="1" applyAlignment="1">
      <alignment vertical="center"/>
      <protection/>
    </xf>
    <xf numFmtId="0" fontId="86" fillId="0" borderId="0" xfId="47" applyFont="1" applyFill="1" applyBorder="1">
      <alignment/>
      <protection/>
    </xf>
    <xf numFmtId="0" fontId="86" fillId="0" borderId="0" xfId="47" applyFont="1" applyFill="1" applyBorder="1" applyAlignment="1">
      <alignment horizontal="center" vertical="center"/>
      <protection/>
    </xf>
    <xf numFmtId="49" fontId="86" fillId="0" borderId="0" xfId="47" applyNumberFormat="1" applyFont="1" applyFill="1" applyBorder="1">
      <alignment/>
      <protection/>
    </xf>
    <xf numFmtId="49" fontId="3" fillId="0" borderId="15" xfId="0" applyNumberFormat="1" applyFont="1" applyFill="1" applyBorder="1" applyAlignment="1" applyProtection="1">
      <alignment horizontal="left" vertical="top" wrapText="1" indent="2"/>
      <protection/>
    </xf>
    <xf numFmtId="49" fontId="3" fillId="0" borderId="13" xfId="0" applyNumberFormat="1" applyFont="1" applyFill="1" applyBorder="1" applyAlignment="1" applyProtection="1">
      <alignment horizontal="left" vertical="center" indent="2"/>
      <protection/>
    </xf>
    <xf numFmtId="49" fontId="21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88" fillId="33" borderId="0" xfId="47" applyFont="1" applyFill="1" applyBorder="1">
      <alignment/>
      <protection/>
    </xf>
    <xf numFmtId="0" fontId="88" fillId="33" borderId="0" xfId="47" applyFont="1" applyFill="1" applyBorder="1" applyAlignment="1">
      <alignment horizontal="center" vertical="center"/>
      <protection/>
    </xf>
    <xf numFmtId="0" fontId="88" fillId="33" borderId="0" xfId="47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12" xfId="47" applyFont="1" applyFill="1" applyBorder="1" applyAlignment="1" applyProtection="1">
      <alignment horizontal="center" vertical="center"/>
      <protection locked="0"/>
    </xf>
    <xf numFmtId="0" fontId="91" fillId="33" borderId="0" xfId="47" applyFont="1" applyFill="1" applyBorder="1">
      <alignment/>
      <protection/>
    </xf>
    <xf numFmtId="49" fontId="91" fillId="33" borderId="0" xfId="47" applyNumberFormat="1" applyFont="1" applyFill="1">
      <alignment/>
      <protection/>
    </xf>
    <xf numFmtId="49" fontId="91" fillId="33" borderId="0" xfId="47" applyNumberFormat="1" applyFont="1" applyFill="1" applyBorder="1">
      <alignment/>
      <protection/>
    </xf>
    <xf numFmtId="49" fontId="88" fillId="33" borderId="0" xfId="47" applyNumberFormat="1" applyFont="1" applyFill="1" applyBorder="1" applyAlignment="1">
      <alignment horizontal="center" vertical="center"/>
      <protection/>
    </xf>
    <xf numFmtId="49" fontId="88" fillId="33" borderId="0" xfId="47" applyNumberFormat="1" applyFont="1" applyFill="1" applyBorder="1" applyAlignment="1">
      <alignment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0" fillId="0" borderId="0" xfId="47" applyFont="1" applyBorder="1" applyProtection="1">
      <alignment/>
      <protection/>
    </xf>
    <xf numFmtId="49" fontId="13" fillId="0" borderId="0" xfId="47" applyNumberFormat="1" applyFont="1" applyBorder="1" applyAlignment="1" applyProtection="1">
      <alignment horizontal="center"/>
      <protection/>
    </xf>
    <xf numFmtId="0" fontId="5" fillId="0" borderId="0" xfId="47" applyNumberFormat="1" applyFont="1" applyBorder="1" applyAlignment="1" applyProtection="1">
      <alignment horizontal="center" vertical="center"/>
      <protection/>
    </xf>
    <xf numFmtId="49" fontId="5" fillId="0" borderId="0" xfId="47" applyNumberFormat="1" applyFont="1" applyBorder="1" applyAlignment="1" applyProtection="1">
      <alignment horizontal="center"/>
      <protection/>
    </xf>
    <xf numFmtId="0" fontId="94" fillId="0" borderId="0" xfId="0" applyFont="1" applyFill="1" applyBorder="1" applyAlignment="1">
      <alignment/>
    </xf>
    <xf numFmtId="0" fontId="86" fillId="33" borderId="0" xfId="47" applyFont="1" applyFill="1" applyBorder="1" applyProtection="1">
      <alignment/>
      <protection hidden="1" locked="0"/>
    </xf>
    <xf numFmtId="0" fontId="86" fillId="0" borderId="0" xfId="47" applyFont="1" applyFill="1" applyBorder="1" applyProtection="1">
      <alignment/>
      <protection hidden="1"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95" fillId="0" borderId="15" xfId="0" applyNumberFormat="1" applyFont="1" applyFill="1" applyBorder="1" applyAlignment="1" applyProtection="1">
      <alignment horizontal="left" vertical="center" wrapText="1" indent="4"/>
      <protection/>
    </xf>
    <xf numFmtId="0" fontId="1" fillId="0" borderId="11" xfId="0" applyFont="1" applyFill="1" applyBorder="1" applyAlignment="1">
      <alignment/>
    </xf>
    <xf numFmtId="0" fontId="3" fillId="0" borderId="0" xfId="47" applyFont="1" applyFill="1">
      <alignment/>
      <protection/>
    </xf>
    <xf numFmtId="0" fontId="3" fillId="0" borderId="0" xfId="47" applyNumberFormat="1" applyFont="1" applyFill="1" applyBorder="1" applyAlignment="1">
      <alignment horizontal="left"/>
      <protection/>
    </xf>
    <xf numFmtId="0" fontId="86" fillId="0" borderId="0" xfId="47" applyFont="1" applyFill="1">
      <alignment/>
      <protection/>
    </xf>
    <xf numFmtId="0" fontId="11" fillId="0" borderId="12" xfId="47" applyNumberFormat="1" applyFont="1" applyBorder="1" applyAlignment="1" applyProtection="1">
      <alignment horizontal="center" vertical="center"/>
      <protection/>
    </xf>
    <xf numFmtId="0" fontId="86" fillId="0" borderId="0" xfId="47" applyFont="1" applyBorder="1" applyAlignment="1" applyProtection="1">
      <alignment horizontal="center" vertical="center"/>
      <protection/>
    </xf>
    <xf numFmtId="0" fontId="3" fillId="0" borderId="26" xfId="47" applyNumberFormat="1" applyFont="1" applyFill="1" applyBorder="1" applyAlignment="1">
      <alignment horizontal="center" vertical="center"/>
      <protection/>
    </xf>
    <xf numFmtId="1" fontId="1" fillId="0" borderId="10" xfId="47" applyNumberFormat="1" applyFont="1" applyBorder="1" applyAlignment="1">
      <alignment horizontal="center" vertical="center"/>
      <protection/>
    </xf>
    <xf numFmtId="0" fontId="90" fillId="0" borderId="0" xfId="47" applyFont="1" applyBorder="1" applyAlignment="1" applyProtection="1">
      <alignment horizontal="right" vertical="center"/>
      <protection/>
    </xf>
    <xf numFmtId="0" fontId="96" fillId="0" borderId="0" xfId="47" applyNumberFormat="1" applyFont="1" applyBorder="1" applyAlignment="1" applyProtection="1">
      <alignment horizontal="center"/>
      <protection hidden="1"/>
    </xf>
    <xf numFmtId="0" fontId="1" fillId="0" borderId="10" xfId="47" applyFont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49" fontId="5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49" fontId="95" fillId="0" borderId="13" xfId="0" applyNumberFormat="1" applyFont="1" applyFill="1" applyBorder="1" applyAlignment="1" applyProtection="1">
      <alignment horizontal="left" vertical="top" wrapText="1" indent="2" shrinkToFit="1"/>
      <protection/>
    </xf>
    <xf numFmtId="49" fontId="24" fillId="0" borderId="0" xfId="0" applyNumberFormat="1" applyFont="1" applyFill="1" applyBorder="1" applyAlignment="1" applyProtection="1">
      <alignment horizontal="left" wrapText="1" indent="1" shrinkToFit="1"/>
      <protection/>
    </xf>
    <xf numFmtId="49" fontId="5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97" fillId="0" borderId="0" xfId="47" applyFont="1" applyFill="1">
      <alignment/>
      <protection/>
    </xf>
    <xf numFmtId="0" fontId="5" fillId="33" borderId="0" xfId="47" applyFont="1" applyFill="1" applyBorder="1" applyAlignment="1">
      <alignment vertical="center"/>
      <protection/>
    </xf>
    <xf numFmtId="0" fontId="5" fillId="33" borderId="0" xfId="47" applyFont="1" applyFill="1">
      <alignment/>
      <protection/>
    </xf>
    <xf numFmtId="0" fontId="3" fillId="33" borderId="0" xfId="47" applyFont="1" applyFill="1" applyBorder="1" applyProtection="1">
      <alignment/>
      <protection/>
    </xf>
    <xf numFmtId="0" fontId="84" fillId="0" borderId="0" xfId="47" applyFont="1" applyBorder="1" applyAlignment="1" applyProtection="1">
      <alignment horizontal="left"/>
      <protection/>
    </xf>
    <xf numFmtId="0" fontId="3" fillId="33" borderId="0" xfId="47" applyFont="1" applyFill="1" applyBorder="1" applyAlignment="1" applyProtection="1">
      <alignment horizontal="center" vertical="center" textRotation="90"/>
      <protection/>
    </xf>
    <xf numFmtId="1" fontId="7" fillId="33" borderId="0" xfId="47" applyNumberFormat="1" applyFont="1" applyFill="1" applyBorder="1" applyAlignment="1" applyProtection="1">
      <alignment horizontal="center"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Border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 horizontal="center" textRotation="90"/>
      <protection/>
    </xf>
    <xf numFmtId="0" fontId="7" fillId="0" borderId="0" xfId="47" applyFont="1" applyFill="1" applyBorder="1" applyAlignment="1">
      <alignment horizontal="center" vertical="center" textRotation="90"/>
      <protection/>
    </xf>
    <xf numFmtId="0" fontId="7" fillId="33" borderId="0" xfId="47" applyFont="1" applyFill="1" applyBorder="1" applyAlignment="1">
      <alignment horizontal="center" textRotation="90"/>
      <protection/>
    </xf>
    <xf numFmtId="0" fontId="7" fillId="33" borderId="0" xfId="47" applyFont="1" applyFill="1" applyBorder="1" applyAlignment="1">
      <alignment horizontal="center" vertical="center" textRotation="90"/>
      <protection/>
    </xf>
    <xf numFmtId="0" fontId="90" fillId="33" borderId="0" xfId="47" applyFont="1" applyFill="1" applyBorder="1" applyAlignment="1">
      <alignment vertical="center"/>
      <protection/>
    </xf>
    <xf numFmtId="0" fontId="98" fillId="33" borderId="0" xfId="47" applyFont="1" applyFill="1" applyBorder="1" applyAlignment="1">
      <alignment horizontal="right"/>
      <protection/>
    </xf>
    <xf numFmtId="0" fontId="99" fillId="33" borderId="0" xfId="47" applyFont="1" applyFill="1" applyBorder="1" applyAlignment="1">
      <alignment horizontal="left" vertical="center"/>
      <protection/>
    </xf>
    <xf numFmtId="0" fontId="99" fillId="33" borderId="0" xfId="47" applyFont="1" applyFill="1" applyAlignment="1">
      <alignment horizontal="left" vertical="center"/>
      <protection/>
    </xf>
    <xf numFmtId="0" fontId="95" fillId="33" borderId="0" xfId="47" applyFont="1" applyFill="1">
      <alignment/>
      <protection/>
    </xf>
    <xf numFmtId="0" fontId="95" fillId="33" borderId="0" xfId="47" applyFont="1" applyFill="1" applyBorder="1">
      <alignment/>
      <protection/>
    </xf>
    <xf numFmtId="0" fontId="95" fillId="0" borderId="0" xfId="47" applyFont="1" applyFill="1" applyBorder="1">
      <alignment/>
      <protection/>
    </xf>
    <xf numFmtId="0" fontId="7" fillId="33" borderId="0" xfId="47" applyFont="1" applyFill="1" applyBorder="1" applyAlignment="1" applyProtection="1">
      <alignment horizontal="center" textRotation="90"/>
      <protection/>
    </xf>
    <xf numFmtId="0" fontId="100" fillId="0" borderId="0" xfId="0" applyNumberFormat="1" applyFont="1" applyFill="1" applyAlignment="1">
      <alignment horizontal="left"/>
    </xf>
    <xf numFmtId="0" fontId="100" fillId="0" borderId="0" xfId="0" applyNumberFormat="1" applyFont="1" applyFill="1" applyAlignment="1">
      <alignment horizontal="center"/>
    </xf>
    <xf numFmtId="49" fontId="100" fillId="0" borderId="0" xfId="0" applyNumberFormat="1" applyFont="1" applyFill="1" applyAlignment="1">
      <alignment horizontal="left"/>
    </xf>
    <xf numFmtId="0" fontId="86" fillId="0" borderId="0" xfId="47" applyFo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indent="1"/>
      <protection locked="0"/>
    </xf>
    <xf numFmtId="0" fontId="11" fillId="0" borderId="12" xfId="47" applyNumberFormat="1" applyFont="1" applyFill="1" applyBorder="1" applyAlignment="1" applyProtection="1">
      <alignment horizontal="center" vertical="center"/>
      <protection locked="0"/>
    </xf>
    <xf numFmtId="49" fontId="11" fillId="0" borderId="12" xfId="47" applyNumberFormat="1" applyFont="1" applyFill="1" applyBorder="1" applyAlignment="1" applyProtection="1">
      <alignment horizontal="center" vertical="center"/>
      <protection locked="0"/>
    </xf>
    <xf numFmtId="1" fontId="13" fillId="0" borderId="10" xfId="47" applyNumberFormat="1" applyFont="1" applyFill="1" applyBorder="1" applyAlignment="1" applyProtection="1">
      <alignment horizontal="center"/>
      <protection locked="0"/>
    </xf>
    <xf numFmtId="0" fontId="1" fillId="0" borderId="0" xfId="47" applyFont="1" applyFill="1" applyBorder="1" applyAlignment="1">
      <alignment horizontal="right" vertical="center"/>
      <protection/>
    </xf>
    <xf numFmtId="0" fontId="1" fillId="0" borderId="0" xfId="47" applyFont="1" applyFill="1" applyBorder="1" applyAlignment="1">
      <alignment horizontal="right"/>
      <protection/>
    </xf>
    <xf numFmtId="0" fontId="101" fillId="0" borderId="0" xfId="47" applyFont="1" applyFill="1" applyBorder="1" applyAlignment="1" applyProtection="1">
      <alignment horizontal="left" vertical="center"/>
      <protection/>
    </xf>
    <xf numFmtId="0" fontId="90" fillId="0" borderId="0" xfId="47" applyFont="1" applyProtection="1">
      <alignment/>
      <protection/>
    </xf>
    <xf numFmtId="0" fontId="90" fillId="0" borderId="0" xfId="47" applyFont="1">
      <alignment/>
      <protection/>
    </xf>
    <xf numFmtId="0" fontId="89" fillId="0" borderId="0" xfId="47" applyFont="1">
      <alignment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49" fontId="5" fillId="0" borderId="20" xfId="0" applyNumberFormat="1" applyFont="1" applyFill="1" applyBorder="1" applyAlignment="1" applyProtection="1">
      <alignment horizontal="left" vertical="center" indent="4"/>
      <protection/>
    </xf>
    <xf numFmtId="49" fontId="95" fillId="0" borderId="15" xfId="0" applyNumberFormat="1" applyFont="1" applyFill="1" applyBorder="1" applyAlignment="1" applyProtection="1">
      <alignment horizontal="left" vertical="top" wrapText="1" indent="2"/>
      <protection/>
    </xf>
    <xf numFmtId="0" fontId="95" fillId="0" borderId="0" xfId="47" applyFont="1" applyProtection="1">
      <alignment/>
      <protection/>
    </xf>
    <xf numFmtId="0" fontId="97" fillId="0" borderId="0" xfId="47" applyFont="1" applyProtection="1">
      <alignment/>
      <protection/>
    </xf>
    <xf numFmtId="0" fontId="95" fillId="0" borderId="0" xfId="47" applyFont="1">
      <alignment/>
      <protection/>
    </xf>
    <xf numFmtId="0" fontId="97" fillId="0" borderId="0" xfId="47" applyFont="1">
      <alignment/>
      <protection/>
    </xf>
    <xf numFmtId="49" fontId="97" fillId="0" borderId="20" xfId="0" applyNumberFormat="1" applyFont="1" applyFill="1" applyBorder="1" applyAlignment="1" applyProtection="1">
      <alignment horizontal="left" vertical="center" wrapText="1" indent="4"/>
      <protection/>
    </xf>
    <xf numFmtId="49" fontId="3" fillId="0" borderId="15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4" fillId="0" borderId="0" xfId="0" applyFont="1" applyFill="1" applyBorder="1" applyAlignment="1">
      <alignment/>
    </xf>
    <xf numFmtId="49" fontId="84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wrapText="1"/>
    </xf>
    <xf numFmtId="1" fontId="84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49" fontId="13" fillId="0" borderId="10" xfId="47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47" applyNumberFormat="1" applyFont="1" applyBorder="1" applyAlignment="1" applyProtection="1">
      <alignment/>
      <protection/>
    </xf>
    <xf numFmtId="0" fontId="1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3" fillId="33" borderId="32" xfId="47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17" fillId="0" borderId="10" xfId="47" applyFont="1" applyBorder="1" applyAlignment="1">
      <alignment horizontal="right"/>
      <protection/>
    </xf>
    <xf numFmtId="49" fontId="5" fillId="33" borderId="24" xfId="47" applyNumberFormat="1" applyFont="1" applyFill="1" applyBorder="1" applyAlignment="1">
      <alignment/>
      <protection/>
    </xf>
    <xf numFmtId="0" fontId="18" fillId="0" borderId="10" xfId="47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49" fontId="7" fillId="33" borderId="0" xfId="47" applyNumberFormat="1" applyFont="1" applyFill="1" applyBorder="1" applyAlignment="1" applyProtection="1">
      <alignment/>
      <protection/>
    </xf>
    <xf numFmtId="0" fontId="7" fillId="33" borderId="0" xfId="47" applyFont="1" applyFill="1" applyBorder="1" applyAlignment="1" applyProtection="1">
      <alignment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1" fontId="7" fillId="33" borderId="0" xfId="47" applyNumberFormat="1" applyFont="1" applyFill="1" applyBorder="1" applyAlignment="1" applyProtection="1">
      <alignment horizontal="center"/>
      <protection/>
    </xf>
    <xf numFmtId="0" fontId="97" fillId="33" borderId="26" xfId="47" applyFont="1" applyFill="1" applyBorder="1" applyAlignment="1">
      <alignment horizontal="center" vertical="center" textRotation="90"/>
      <protection/>
    </xf>
    <xf numFmtId="0" fontId="102" fillId="33" borderId="26" xfId="0" applyFont="1" applyFill="1" applyBorder="1" applyAlignment="1">
      <alignment horizontal="center" vertical="center"/>
    </xf>
    <xf numFmtId="0" fontId="3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13" fillId="0" borderId="1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47" applyFont="1" applyBorder="1" applyAlignment="1">
      <alignment horizontal="left"/>
      <protection/>
    </xf>
    <xf numFmtId="0" fontId="17" fillId="0" borderId="10" xfId="0" applyFont="1" applyBorder="1" applyAlignment="1">
      <alignment/>
    </xf>
    <xf numFmtId="0" fontId="5" fillId="0" borderId="0" xfId="47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18" fillId="0" borderId="11" xfId="47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/>
      <protection locked="0"/>
    </xf>
    <xf numFmtId="49" fontId="18" fillId="0" borderId="11" xfId="47" applyNumberFormat="1" applyFont="1" applyBorder="1" applyAlignment="1" applyProtection="1">
      <alignment horizontal="center"/>
      <protection/>
    </xf>
    <xf numFmtId="49" fontId="18" fillId="0" borderId="33" xfId="47" applyNumberFormat="1" applyFont="1" applyBorder="1" applyAlignment="1" applyProtection="1">
      <alignment horizontal="center"/>
      <protection/>
    </xf>
    <xf numFmtId="49" fontId="0" fillId="33" borderId="24" xfId="0" applyNumberFormat="1" applyFill="1" applyBorder="1" applyAlignment="1">
      <alignment/>
    </xf>
    <xf numFmtId="49" fontId="3" fillId="35" borderId="32" xfId="47" applyNumberFormat="1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19" fillId="0" borderId="0" xfId="47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0" xfId="47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0" xfId="47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10" xfId="47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15" fillId="0" borderId="29" xfId="47" applyFont="1" applyBorder="1" applyAlignment="1" applyProtection="1">
      <alignment horizontal="center" vertical="center"/>
      <protection/>
    </xf>
    <xf numFmtId="0" fontId="3" fillId="0" borderId="0" xfId="47" applyNumberFormat="1" applyFont="1" applyBorder="1" applyAlignment="1" applyProtection="1">
      <alignment horizontal="center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1" fontId="11" fillId="0" borderId="10" xfId="47" applyNumberFormat="1" applyFont="1" applyBorder="1" applyAlignment="1" applyProtection="1">
      <alignment horizontal="center"/>
      <protection/>
    </xf>
    <xf numFmtId="0" fontId="11" fillId="0" borderId="32" xfId="47" applyFont="1" applyBorder="1" applyAlignment="1" applyProtection="1">
      <alignment horizontal="center" vertical="center"/>
      <protection/>
    </xf>
    <xf numFmtId="0" fontId="11" fillId="0" borderId="33" xfId="47" applyFont="1" applyBorder="1" applyAlignment="1" applyProtection="1">
      <alignment horizontal="center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0" xfId="47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10" xfId="0" applyFont="1" applyBorder="1" applyAlignment="1">
      <alignment horizontal="center"/>
    </xf>
    <xf numFmtId="1" fontId="3" fillId="33" borderId="32" xfId="47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" fontId="0" fillId="33" borderId="33" xfId="0" applyNumberFormat="1" applyFill="1" applyBorder="1" applyAlignment="1" applyProtection="1">
      <alignment horizontal="center" vertical="center"/>
      <protection locked="0"/>
    </xf>
    <xf numFmtId="0" fontId="5" fillId="33" borderId="24" xfId="47" applyNumberFormat="1" applyFont="1" applyFill="1" applyBorder="1" applyAlignment="1">
      <alignment/>
      <protection/>
    </xf>
    <xf numFmtId="0" fontId="0" fillId="33" borderId="2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0" borderId="10" xfId="47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5" fillId="0" borderId="11" xfId="47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8" fillId="0" borderId="11" xfId="47" applyFont="1" applyBorder="1" applyAlignment="1" applyProtection="1">
      <alignment horizontal="center"/>
      <protection/>
    </xf>
    <xf numFmtId="49" fontId="5" fillId="0" borderId="10" xfId="47" applyNumberFormat="1" applyFont="1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0" fontId="0" fillId="0" borderId="22" xfId="0" applyBorder="1" applyAlignment="1" applyProtection="1">
      <alignment horizontal="left" indent="2"/>
      <protection locked="0"/>
    </xf>
    <xf numFmtId="49" fontId="5" fillId="0" borderId="11" xfId="47" applyNumberFormat="1" applyFont="1" applyBorder="1" applyAlignment="1" applyProtection="1">
      <alignment horizontal="left" indent="2"/>
      <protection locked="0"/>
    </xf>
    <xf numFmtId="0" fontId="0" fillId="0" borderId="11" xfId="0" applyBorder="1" applyAlignment="1" applyProtection="1">
      <alignment horizontal="left" indent="2"/>
      <protection locked="0"/>
    </xf>
    <xf numFmtId="0" fontId="0" fillId="0" borderId="33" xfId="0" applyBorder="1" applyAlignment="1" applyProtection="1">
      <alignment horizontal="left" indent="2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9" fontId="7" fillId="0" borderId="0" xfId="47" applyNumberFormat="1" applyFont="1" applyFill="1" applyBorder="1" applyAlignment="1">
      <alignment/>
      <protection/>
    </xf>
    <xf numFmtId="0" fontId="7" fillId="0" borderId="0" xfId="47" applyFont="1" applyFill="1" applyBorder="1" applyAlignment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0" fontId="5" fillId="33" borderId="0" xfId="47" applyFont="1" applyFill="1" applyBorder="1" applyAlignment="1">
      <alignment horizontal="center" vertical="center" textRotation="90"/>
      <protection/>
    </xf>
    <xf numFmtId="0" fontId="1" fillId="33" borderId="0" xfId="0" applyFont="1" applyFill="1" applyBorder="1" applyAlignment="1">
      <alignment horizontal="center" vertical="center"/>
    </xf>
    <xf numFmtId="0" fontId="3" fillId="0" borderId="0" xfId="47" applyNumberFormat="1" applyFont="1" applyBorder="1" applyAlignment="1" applyProtection="1">
      <alignment horizontal="center"/>
      <protection hidden="1"/>
    </xf>
    <xf numFmtId="49" fontId="3" fillId="0" borderId="0" xfId="47" applyNumberFormat="1" applyFont="1" applyBorder="1" applyAlignment="1" applyProtection="1">
      <alignment horizontal="center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49" fontId="7" fillId="33" borderId="0" xfId="47" applyNumberFormat="1" applyFont="1" applyFill="1" applyBorder="1" applyAlignment="1">
      <alignment/>
      <protection/>
    </xf>
    <xf numFmtId="0" fontId="7" fillId="33" borderId="0" xfId="47" applyFont="1" applyFill="1" applyBorder="1" applyAlignment="1">
      <alignment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39"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65</xdr:row>
      <xdr:rowOff>247650</xdr:rowOff>
    </xdr:from>
    <xdr:to>
      <xdr:col>20</xdr:col>
      <xdr:colOff>76200</xdr:colOff>
      <xdr:row>69</xdr:row>
      <xdr:rowOff>152400</xdr:rowOff>
    </xdr:to>
    <xdr:sp>
      <xdr:nvSpPr>
        <xdr:cNvPr id="3" name="Ylänuoli 11">
          <a:hlinkClick r:id="rId2"/>
        </xdr:cNvPr>
        <xdr:cNvSpPr>
          <a:spLocks/>
        </xdr:cNvSpPr>
      </xdr:nvSpPr>
      <xdr:spPr>
        <a:xfrm>
          <a:off x="6391275" y="2032635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85</xdr:row>
      <xdr:rowOff>133350</xdr:rowOff>
    </xdr:from>
    <xdr:to>
      <xdr:col>20</xdr:col>
      <xdr:colOff>19050</xdr:colOff>
      <xdr:row>88</xdr:row>
      <xdr:rowOff>285750</xdr:rowOff>
    </xdr:to>
    <xdr:sp>
      <xdr:nvSpPr>
        <xdr:cNvPr id="4" name="Ylänuoli 12">
          <a:hlinkClick r:id="rId3"/>
        </xdr:cNvPr>
        <xdr:cNvSpPr>
          <a:spLocks/>
        </xdr:cNvSpPr>
      </xdr:nvSpPr>
      <xdr:spPr>
        <a:xfrm>
          <a:off x="6334125" y="2698432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127</xdr:row>
      <xdr:rowOff>104775</xdr:rowOff>
    </xdr:from>
    <xdr:to>
      <xdr:col>19</xdr:col>
      <xdr:colOff>361950</xdr:colOff>
      <xdr:row>130</xdr:row>
      <xdr:rowOff>323850</xdr:rowOff>
    </xdr:to>
    <xdr:sp>
      <xdr:nvSpPr>
        <xdr:cNvPr id="5" name="Ylänuoli 13">
          <a:hlinkClick r:id="rId4"/>
        </xdr:cNvPr>
        <xdr:cNvSpPr>
          <a:spLocks/>
        </xdr:cNvSpPr>
      </xdr:nvSpPr>
      <xdr:spPr>
        <a:xfrm>
          <a:off x="6305550" y="41090850"/>
          <a:ext cx="323850" cy="136207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106</xdr:row>
      <xdr:rowOff>133350</xdr:rowOff>
    </xdr:from>
    <xdr:to>
      <xdr:col>20</xdr:col>
      <xdr:colOff>38100</xdr:colOff>
      <xdr:row>109</xdr:row>
      <xdr:rowOff>285750</xdr:rowOff>
    </xdr:to>
    <xdr:sp>
      <xdr:nvSpPr>
        <xdr:cNvPr id="6" name="Ylänuoli 14">
          <a:hlinkClick r:id="rId5"/>
        </xdr:cNvPr>
        <xdr:cNvSpPr>
          <a:spLocks/>
        </xdr:cNvSpPr>
      </xdr:nvSpPr>
      <xdr:spPr>
        <a:xfrm>
          <a:off x="6353175" y="34042350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115</xdr:row>
      <xdr:rowOff>104775</xdr:rowOff>
    </xdr:from>
    <xdr:to>
      <xdr:col>20</xdr:col>
      <xdr:colOff>38100</xdr:colOff>
      <xdr:row>118</xdr:row>
      <xdr:rowOff>342900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53175" y="36947475"/>
          <a:ext cx="333375" cy="138112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66675</xdr:rowOff>
    </xdr:from>
    <xdr:to>
      <xdr:col>20</xdr:col>
      <xdr:colOff>38100</xdr:colOff>
      <xdr:row>98</xdr:row>
      <xdr:rowOff>180975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353175" y="30251400"/>
          <a:ext cx="333375" cy="128587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75</xdr:row>
      <xdr:rowOff>104775</xdr:rowOff>
    </xdr:from>
    <xdr:to>
      <xdr:col>20</xdr:col>
      <xdr:colOff>19050</xdr:colOff>
      <xdr:row>78</xdr:row>
      <xdr:rowOff>209550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334125" y="23536275"/>
          <a:ext cx="333375" cy="12763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</xdr:row>
      <xdr:rowOff>228600</xdr:rowOff>
    </xdr:from>
    <xdr:to>
      <xdr:col>20</xdr:col>
      <xdr:colOff>19050</xdr:colOff>
      <xdr:row>58</xdr:row>
      <xdr:rowOff>238125</xdr:rowOff>
    </xdr:to>
    <xdr:sp>
      <xdr:nvSpPr>
        <xdr:cNvPr id="10" name="Ylänuoli 15">
          <a:hlinkClick r:id="rId9"/>
        </xdr:cNvPr>
        <xdr:cNvSpPr>
          <a:spLocks/>
        </xdr:cNvSpPr>
      </xdr:nvSpPr>
      <xdr:spPr>
        <a:xfrm>
          <a:off x="6334125" y="16411575"/>
          <a:ext cx="333375" cy="1504950"/>
        </a:xfrm>
        <a:prstGeom prst="upArrow">
          <a:avLst>
            <a:gd name="adj" fmla="val -38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65</xdr:row>
      <xdr:rowOff>247650</xdr:rowOff>
    </xdr:from>
    <xdr:to>
      <xdr:col>20</xdr:col>
      <xdr:colOff>38100</xdr:colOff>
      <xdr:row>69</xdr:row>
      <xdr:rowOff>152400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353175" y="20354925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85725</xdr:rowOff>
    </xdr:from>
    <xdr:to>
      <xdr:col>20</xdr:col>
      <xdr:colOff>66675</xdr:colOff>
      <xdr:row>78</xdr:row>
      <xdr:rowOff>219075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372225" y="23545800"/>
          <a:ext cx="342900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127</xdr:row>
      <xdr:rowOff>114300</xdr:rowOff>
    </xdr:from>
    <xdr:to>
      <xdr:col>20</xdr:col>
      <xdr:colOff>76200</xdr:colOff>
      <xdr:row>130</xdr:row>
      <xdr:rowOff>342900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91275" y="41128950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95</xdr:row>
      <xdr:rowOff>19050</xdr:rowOff>
    </xdr:from>
    <xdr:to>
      <xdr:col>20</xdr:col>
      <xdr:colOff>76200</xdr:colOff>
      <xdr:row>98</xdr:row>
      <xdr:rowOff>171450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391275" y="30232350"/>
          <a:ext cx="333375" cy="132397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115</xdr:row>
      <xdr:rowOff>0</xdr:rowOff>
    </xdr:from>
    <xdr:to>
      <xdr:col>20</xdr:col>
      <xdr:colOff>85725</xdr:colOff>
      <xdr:row>118</xdr:row>
      <xdr:rowOff>228600</xdr:rowOff>
    </xdr:to>
    <xdr:sp>
      <xdr:nvSpPr>
        <xdr:cNvPr id="7" name="Ylänuoli 7">
          <a:hlinkClick r:id="rId6"/>
        </xdr:cNvPr>
        <xdr:cNvSpPr>
          <a:spLocks/>
        </xdr:cNvSpPr>
      </xdr:nvSpPr>
      <xdr:spPr>
        <a:xfrm>
          <a:off x="6400800" y="36871275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85</xdr:row>
      <xdr:rowOff>114300</xdr:rowOff>
    </xdr:from>
    <xdr:to>
      <xdr:col>20</xdr:col>
      <xdr:colOff>66675</xdr:colOff>
      <xdr:row>88</xdr:row>
      <xdr:rowOff>285750</xdr:rowOff>
    </xdr:to>
    <xdr:sp>
      <xdr:nvSpPr>
        <xdr:cNvPr id="8" name="Ylänuoli 8">
          <a:hlinkClick r:id="rId7"/>
        </xdr:cNvPr>
        <xdr:cNvSpPr>
          <a:spLocks/>
        </xdr:cNvSpPr>
      </xdr:nvSpPr>
      <xdr:spPr>
        <a:xfrm>
          <a:off x="6372225" y="26993850"/>
          <a:ext cx="342900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55</xdr:row>
      <xdr:rowOff>190500</xdr:rowOff>
    </xdr:from>
    <xdr:to>
      <xdr:col>20</xdr:col>
      <xdr:colOff>76200</xdr:colOff>
      <xdr:row>59</xdr:row>
      <xdr:rowOff>57150</xdr:rowOff>
    </xdr:to>
    <xdr:sp>
      <xdr:nvSpPr>
        <xdr:cNvPr id="9" name="Ylänuoli 9">
          <a:hlinkClick r:id="rId8"/>
        </xdr:cNvPr>
        <xdr:cNvSpPr>
          <a:spLocks/>
        </xdr:cNvSpPr>
      </xdr:nvSpPr>
      <xdr:spPr>
        <a:xfrm>
          <a:off x="6391275" y="16697325"/>
          <a:ext cx="333375" cy="1466850"/>
        </a:xfrm>
        <a:prstGeom prst="upArrow">
          <a:avLst>
            <a:gd name="adj" fmla="val -38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65</xdr:row>
      <xdr:rowOff>180975</xdr:rowOff>
    </xdr:from>
    <xdr:to>
      <xdr:col>20</xdr:col>
      <xdr:colOff>114300</xdr:colOff>
      <xdr:row>69</xdr:row>
      <xdr:rowOff>85725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429375" y="20278725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85</xdr:row>
      <xdr:rowOff>171450</xdr:rowOff>
    </xdr:from>
    <xdr:to>
      <xdr:col>20</xdr:col>
      <xdr:colOff>114300</xdr:colOff>
      <xdr:row>88</xdr:row>
      <xdr:rowOff>342900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429375" y="27041475"/>
          <a:ext cx="333375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127</xdr:row>
      <xdr:rowOff>95250</xdr:rowOff>
    </xdr:from>
    <xdr:to>
      <xdr:col>20</xdr:col>
      <xdr:colOff>38100</xdr:colOff>
      <xdr:row>130</xdr:row>
      <xdr:rowOff>323850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53175" y="41148000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105</xdr:row>
      <xdr:rowOff>285750</xdr:rowOff>
    </xdr:from>
    <xdr:to>
      <xdr:col>21</xdr:col>
      <xdr:colOff>0</xdr:colOff>
      <xdr:row>109</xdr:row>
      <xdr:rowOff>57150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457950" y="33870900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115</xdr:row>
      <xdr:rowOff>276225</xdr:rowOff>
    </xdr:from>
    <xdr:to>
      <xdr:col>19</xdr:col>
      <xdr:colOff>381000</xdr:colOff>
      <xdr:row>119</xdr:row>
      <xdr:rowOff>114300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05550" y="37185600"/>
          <a:ext cx="342900" cy="136207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96</xdr:row>
      <xdr:rowOff>142875</xdr:rowOff>
    </xdr:from>
    <xdr:to>
      <xdr:col>20</xdr:col>
      <xdr:colOff>95250</xdr:colOff>
      <xdr:row>99</xdr:row>
      <xdr:rowOff>266700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410325" y="3073717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75</xdr:row>
      <xdr:rowOff>171450</xdr:rowOff>
    </xdr:from>
    <xdr:to>
      <xdr:col>20</xdr:col>
      <xdr:colOff>85725</xdr:colOff>
      <xdr:row>78</xdr:row>
      <xdr:rowOff>295275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391275" y="23631525"/>
          <a:ext cx="342900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55</xdr:row>
      <xdr:rowOff>85725</xdr:rowOff>
    </xdr:from>
    <xdr:to>
      <xdr:col>20</xdr:col>
      <xdr:colOff>114300</xdr:colOff>
      <xdr:row>58</xdr:row>
      <xdr:rowOff>390525</xdr:rowOff>
    </xdr:to>
    <xdr:sp>
      <xdr:nvSpPr>
        <xdr:cNvPr id="10" name="Ylänuoli 11">
          <a:hlinkClick r:id="rId9"/>
        </xdr:cNvPr>
        <xdr:cNvSpPr>
          <a:spLocks/>
        </xdr:cNvSpPr>
      </xdr:nvSpPr>
      <xdr:spPr>
        <a:xfrm>
          <a:off x="6429375" y="16592550"/>
          <a:ext cx="333375" cy="1504950"/>
        </a:xfrm>
        <a:prstGeom prst="upArrow">
          <a:avLst>
            <a:gd name="adj" fmla="val -3884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552450</xdr:colOff>
      <xdr:row>0</xdr:row>
      <xdr:rowOff>0</xdr:rowOff>
    </xdr:from>
    <xdr:to>
      <xdr:col>9</xdr:col>
      <xdr:colOff>247650</xdr:colOff>
      <xdr:row>4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152400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496300"/>
          <a:ext cx="3505200" cy="2314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26</xdr:row>
      <xdr:rowOff>0</xdr:rowOff>
    </xdr:from>
    <xdr:to>
      <xdr:col>6</xdr:col>
      <xdr:colOff>161925</xdr:colOff>
      <xdr:row>27</xdr:row>
      <xdr:rowOff>123825</xdr:rowOff>
    </xdr:to>
    <xdr:sp>
      <xdr:nvSpPr>
        <xdr:cNvPr id="4" name="Suorakulmio 42"/>
        <xdr:cNvSpPr>
          <a:spLocks/>
        </xdr:cNvSpPr>
      </xdr:nvSpPr>
      <xdr:spPr>
        <a:xfrm>
          <a:off x="7562850" y="8382000"/>
          <a:ext cx="609600" cy="514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5" name="Picture 2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66800"/>
          <a:ext cx="3800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6" name="Picture 2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400800"/>
          <a:ext cx="1857375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495300</xdr:colOff>
      <xdr:row>20</xdr:row>
      <xdr:rowOff>342900</xdr:rowOff>
    </xdr:from>
    <xdr:to>
      <xdr:col>5</xdr:col>
      <xdr:colOff>247650</xdr:colOff>
      <xdr:row>25</xdr:row>
      <xdr:rowOff>57150</xdr:rowOff>
    </xdr:to>
    <xdr:sp>
      <xdr:nvSpPr>
        <xdr:cNvPr id="7" name="Suorakulmio 25"/>
        <xdr:cNvSpPr>
          <a:spLocks/>
        </xdr:cNvSpPr>
      </xdr:nvSpPr>
      <xdr:spPr>
        <a:xfrm>
          <a:off x="7286625" y="6457950"/>
          <a:ext cx="361950" cy="1704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8" name="Picture 2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67225"/>
          <a:ext cx="37433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38100</xdr:colOff>
      <xdr:row>6</xdr:row>
      <xdr:rowOff>123825</xdr:rowOff>
    </xdr:from>
    <xdr:to>
      <xdr:col>9</xdr:col>
      <xdr:colOff>228600</xdr:colOff>
      <xdr:row>13</xdr:row>
      <xdr:rowOff>304800</xdr:rowOff>
    </xdr:to>
    <xdr:pic>
      <xdr:nvPicPr>
        <xdr:cNvPr id="9" name="Picture 2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895475"/>
          <a:ext cx="372427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2"/>
  <sheetViews>
    <sheetView showGridLines="0" showRowColHeaders="0" tabSelected="1" zoomScalePageLayoutView="0" workbookViewId="0" topLeftCell="A1">
      <selection activeCell="B5" sqref="B5"/>
    </sheetView>
  </sheetViews>
  <sheetFormatPr defaultColWidth="9.140625" defaultRowHeight="12.75"/>
  <cols>
    <col min="1" max="1" width="34.00390625" style="133" customWidth="1"/>
    <col min="2" max="2" width="8.140625" style="134" customWidth="1"/>
    <col min="3" max="3" width="10.00390625" style="134" customWidth="1"/>
    <col min="4" max="4" width="7.8515625" style="134" customWidth="1"/>
    <col min="5" max="5" width="8.57421875" style="134" customWidth="1"/>
    <col min="6" max="6" width="9.8515625" style="134" customWidth="1"/>
    <col min="7" max="8" width="7.7109375" style="134" customWidth="1"/>
    <col min="9" max="9" width="6.421875" style="134" customWidth="1"/>
    <col min="10" max="10" width="4.57421875" style="134" customWidth="1"/>
    <col min="11" max="11" width="8.8515625" style="134" bestFit="1" customWidth="1"/>
    <col min="12" max="12" width="8.8515625" style="134" customWidth="1"/>
    <col min="13" max="13" width="9.140625" style="133" customWidth="1"/>
    <col min="14" max="14" width="9.140625" style="134" customWidth="1"/>
    <col min="15" max="17" width="9.140625" style="339" customWidth="1"/>
    <col min="18" max="16384" width="9.140625" style="134" customWidth="1"/>
  </cols>
  <sheetData>
    <row r="1" spans="1:17" s="133" customFormat="1" ht="42.75" customHeight="1">
      <c r="A1" s="117"/>
      <c r="B1" s="120"/>
      <c r="C1" s="120"/>
      <c r="D1" s="121" t="s">
        <v>45</v>
      </c>
      <c r="G1" s="18"/>
      <c r="H1" s="18"/>
      <c r="I1" s="18"/>
      <c r="K1" s="117"/>
      <c r="L1" s="117"/>
      <c r="O1" s="339"/>
      <c r="P1" s="339"/>
      <c r="Q1" s="339"/>
    </row>
    <row r="2" spans="1:12" ht="21" customHeight="1">
      <c r="A2" s="117"/>
      <c r="B2" s="120"/>
      <c r="C2" s="120"/>
      <c r="D2" s="120"/>
      <c r="E2" s="164" t="s">
        <v>53</v>
      </c>
      <c r="F2" s="133"/>
      <c r="G2" s="18"/>
      <c r="H2" s="18"/>
      <c r="I2" s="18"/>
      <c r="J2" s="133"/>
      <c r="K2" s="117"/>
      <c r="L2" s="117"/>
    </row>
    <row r="3" spans="1:12" ht="37.5" customHeight="1">
      <c r="A3" s="117"/>
      <c r="B3" s="122"/>
      <c r="C3" s="122"/>
      <c r="D3" s="122"/>
      <c r="E3" s="163" t="s">
        <v>43</v>
      </c>
      <c r="F3" s="117"/>
      <c r="G3" s="123"/>
      <c r="H3" s="123"/>
      <c r="I3" s="123"/>
      <c r="J3" s="133"/>
      <c r="K3" s="117"/>
      <c r="L3" s="117"/>
    </row>
    <row r="4" spans="1:12" ht="19.5" customHeight="1">
      <c r="A4" s="318" t="s">
        <v>22</v>
      </c>
      <c r="B4" s="314"/>
      <c r="C4" s="319" t="b">
        <f>IF(OR(B5="x",B6="x"),FALSE,TRUE)</f>
        <v>0</v>
      </c>
      <c r="D4" s="135"/>
      <c r="E4" s="124"/>
      <c r="F4" s="125"/>
      <c r="G4" s="126"/>
      <c r="H4" s="126"/>
      <c r="I4" s="126"/>
      <c r="J4" s="126"/>
      <c r="K4" s="124"/>
      <c r="L4" s="127"/>
    </row>
    <row r="5" spans="1:12" ht="19.5" customHeight="1">
      <c r="A5" s="318" t="s">
        <v>4</v>
      </c>
      <c r="B5" s="315"/>
      <c r="C5" s="319" t="b">
        <f>IF(OR(B4="x",B6="x"),FALSE,TRUE)</f>
        <v>0</v>
      </c>
      <c r="D5" s="317" t="s">
        <v>20</v>
      </c>
      <c r="E5" s="314" t="s">
        <v>10</v>
      </c>
      <c r="F5" s="275" t="b">
        <f>IF(E6="x",FALSE,TRUE)</f>
        <v>1</v>
      </c>
      <c r="G5" s="317" t="s">
        <v>23</v>
      </c>
      <c r="H5" s="314">
        <v>5</v>
      </c>
      <c r="I5" s="133"/>
      <c r="J5" s="133"/>
      <c r="K5" s="117"/>
      <c r="L5" s="128"/>
    </row>
    <row r="6" spans="1:12" ht="19.5" customHeight="1">
      <c r="A6" s="318" t="s">
        <v>5</v>
      </c>
      <c r="B6" s="315" t="s">
        <v>10</v>
      </c>
      <c r="C6" s="319" t="b">
        <f>IF(OR(B4="x",B5="x"),FALSE,TRUE)</f>
        <v>1</v>
      </c>
      <c r="D6" s="317" t="s">
        <v>21</v>
      </c>
      <c r="E6" s="315"/>
      <c r="F6" s="275" t="b">
        <f>IF(E5="x",FALSE,TRUE)</f>
        <v>0</v>
      </c>
      <c r="G6" s="317" t="s">
        <v>6</v>
      </c>
      <c r="H6" s="315" t="s">
        <v>96</v>
      </c>
      <c r="I6" s="133"/>
      <c r="J6" s="133"/>
      <c r="K6" s="117"/>
      <c r="L6" s="128"/>
    </row>
    <row r="7" spans="1:12" ht="9.75" customHeight="1">
      <c r="A7" s="117"/>
      <c r="B7" s="117"/>
      <c r="C7" s="117"/>
      <c r="D7" s="117"/>
      <c r="E7" s="117"/>
      <c r="F7" s="18"/>
      <c r="G7" s="18"/>
      <c r="H7" s="18"/>
      <c r="I7" s="18"/>
      <c r="J7" s="18"/>
      <c r="K7" s="117"/>
      <c r="L7" s="117"/>
    </row>
    <row r="8" spans="1:12" ht="30" customHeight="1">
      <c r="A8" s="129" t="s">
        <v>50</v>
      </c>
      <c r="B8" s="346" t="s">
        <v>95</v>
      </c>
      <c r="C8" s="347"/>
      <c r="D8" s="347"/>
      <c r="E8" s="347"/>
      <c r="F8" s="129" t="s">
        <v>18</v>
      </c>
      <c r="G8" s="316">
        <v>11</v>
      </c>
      <c r="H8" s="130" t="s">
        <v>19</v>
      </c>
      <c r="I8" s="316">
        <v>1</v>
      </c>
      <c r="J8" s="130" t="s">
        <v>19</v>
      </c>
      <c r="K8" s="316">
        <v>2020</v>
      </c>
      <c r="L8" s="138"/>
    </row>
    <row r="9" spans="1:12" ht="30" customHeight="1">
      <c r="A9" s="325" t="s">
        <v>97</v>
      </c>
      <c r="B9" s="266"/>
      <c r="E9" s="133"/>
      <c r="F9" s="133"/>
      <c r="G9" s="133"/>
      <c r="H9" s="133"/>
      <c r="I9" s="133"/>
      <c r="J9" s="133"/>
      <c r="K9" s="133"/>
      <c r="L9" s="133"/>
    </row>
    <row r="10" spans="1:12" ht="14.25" customHeight="1">
      <c r="A10" s="324" t="s">
        <v>71</v>
      </c>
      <c r="B10" s="323"/>
      <c r="E10" s="133"/>
      <c r="F10" s="133"/>
      <c r="G10" s="133"/>
      <c r="H10" s="133"/>
      <c r="I10" s="133"/>
      <c r="J10" s="133"/>
      <c r="K10" s="133"/>
      <c r="L10" s="133"/>
    </row>
    <row r="11" spans="1:17" ht="33" customHeight="1">
      <c r="A11" s="133" t="s">
        <v>2</v>
      </c>
      <c r="B11" s="136" t="s">
        <v>27</v>
      </c>
      <c r="C11" s="136" t="s">
        <v>8</v>
      </c>
      <c r="D11" s="159" t="s">
        <v>61</v>
      </c>
      <c r="E11" s="159" t="s">
        <v>60</v>
      </c>
      <c r="F11" s="159" t="s">
        <v>63</v>
      </c>
      <c r="G11" s="136" t="s">
        <v>66</v>
      </c>
      <c r="H11" s="136" t="s">
        <v>41</v>
      </c>
      <c r="I11" s="159" t="s">
        <v>65</v>
      </c>
      <c r="O11" s="340" t="s">
        <v>58</v>
      </c>
      <c r="P11" s="341" t="s">
        <v>28</v>
      </c>
      <c r="Q11" s="342" t="s">
        <v>59</v>
      </c>
    </row>
    <row r="12" spans="1:17" ht="20.25" customHeight="1">
      <c r="A12" s="313" t="s">
        <v>102</v>
      </c>
      <c r="B12" s="132">
        <f>SUMIF(apuri!$A$9:$A$16,tilasto!A12,apuri!$D$9:$D$16)</f>
        <v>362</v>
      </c>
      <c r="C12" s="132">
        <f>SUMIF(apuri!$A$9:$A$16,tilasto!A12,apuri!$H$9:$H$16)</f>
        <v>7419</v>
      </c>
      <c r="D12" s="132">
        <f>SUMIF(apuri!$A$9:$A$16,tilasto!A12,apuri!$E$9:$E$16)</f>
        <v>15</v>
      </c>
      <c r="E12" s="132">
        <f>SUMIF(apuri!$A$9:$A$16,tilasto!A12,apuri!$J$9:$J$16)</f>
        <v>4</v>
      </c>
      <c r="F12" s="132">
        <f>SUMIF(apuri!$A$9:$A$16,tilasto!A12,apuri!$L$9:$L$16)</f>
        <v>17</v>
      </c>
      <c r="G12" s="132">
        <f>SUMIF(apuri!$A$9:$A$16,tilasto!A12,apuri!$M$9:$M$16)</f>
        <v>1</v>
      </c>
      <c r="H12" s="161">
        <f aca="true" t="shared" si="0" ref="H12:H20">C12/B12</f>
        <v>20.494475138121548</v>
      </c>
      <c r="I12" s="161">
        <f aca="true" t="shared" si="1" ref="I12:I20">(F12+G12)/D12</f>
        <v>1.2</v>
      </c>
      <c r="O12" s="343">
        <f>SUMIF(apuri!$A$9:$A$16,tilasto!A12,apuri!$F$9:$F$16)</f>
        <v>3</v>
      </c>
      <c r="P12" s="343">
        <f>SUMIF(apuri!$A$9:$A$16,tilasto!A12,apuri!$G$9:$G$16)</f>
        <v>96</v>
      </c>
      <c r="Q12" s="343">
        <f>SUMIF(apuri!$A$9:$A$16,tilasto!A12,apuri!$K$9:$K$16)</f>
        <v>12</v>
      </c>
    </row>
    <row r="13" spans="1:17" ht="20.25" customHeight="1">
      <c r="A13" s="313" t="s">
        <v>103</v>
      </c>
      <c r="B13" s="132">
        <f>SUMIF(apuri!$A$9:$A$16,tilasto!A13,apuri!$D$9:$D$16)</f>
        <v>416</v>
      </c>
      <c r="C13" s="132">
        <f>SUMIF(apuri!$A$9:$A$16,tilasto!A13,apuri!$H$9:$H$16)</f>
        <v>7939</v>
      </c>
      <c r="D13" s="132">
        <f>SUMIF(apuri!$A$9:$A$16,tilasto!A13,apuri!$E$9:$E$16)</f>
        <v>16</v>
      </c>
      <c r="E13" s="132">
        <f>SUMIF(apuri!$A$9:$A$16,tilasto!A13,apuri!$J$9:$J$16)</f>
        <v>4</v>
      </c>
      <c r="F13" s="132">
        <f>SUMIF(apuri!$A$9:$A$16,tilasto!A13,apuri!$L$9:$L$16)</f>
        <v>18</v>
      </c>
      <c r="G13" s="132">
        <f>SUMIF(apuri!$A$9:$A$16,tilasto!A13,apuri!$M$9:$M$16)</f>
        <v>0</v>
      </c>
      <c r="H13" s="161">
        <f t="shared" si="0"/>
        <v>19.084134615384617</v>
      </c>
      <c r="I13" s="161">
        <f t="shared" si="1"/>
        <v>1.125</v>
      </c>
      <c r="O13" s="343">
        <f>SUMIF(apuri!$A$9:$A$16,tilasto!A13,apuri!$F$9:$F$16)</f>
        <v>4</v>
      </c>
      <c r="P13" s="343">
        <f>SUMIF(apuri!$A$9:$A$16,tilasto!A13,apuri!$G$9:$G$16)</f>
        <v>77</v>
      </c>
      <c r="Q13" s="343">
        <f>SUMIF(apuri!$A$9:$A$16,tilasto!A13,apuri!$K$9:$K$16)</f>
        <v>12</v>
      </c>
    </row>
    <row r="14" spans="1:17" ht="20.25" customHeight="1">
      <c r="A14" s="313" t="s">
        <v>104</v>
      </c>
      <c r="B14" s="132">
        <f>SUMIF(apuri!$A$9:$A$16,tilasto!A14,apuri!$D$9:$D$16)</f>
        <v>220</v>
      </c>
      <c r="C14" s="132">
        <f>SUMIF(apuri!$A$9:$A$16,tilasto!A14,apuri!$H$9:$H$16)</f>
        <v>3582</v>
      </c>
      <c r="D14" s="132">
        <f>SUMIF(apuri!$A$9:$A$16,tilasto!A14,apuri!$E$9:$E$16)</f>
        <v>8</v>
      </c>
      <c r="E14" s="132">
        <f>SUMIF(apuri!$A$9:$A$16,tilasto!A14,apuri!$J$9:$J$16)</f>
        <v>0</v>
      </c>
      <c r="F14" s="132">
        <f>SUMIF(apuri!$A$9:$A$16,tilasto!A14,apuri!$L$9:$L$16)</f>
        <v>5</v>
      </c>
      <c r="G14" s="132">
        <f>SUMIF(apuri!$A$9:$A$16,tilasto!A14,apuri!$M$9:$M$16)</f>
        <v>0</v>
      </c>
      <c r="H14" s="161">
        <f t="shared" si="0"/>
        <v>16.28181818181818</v>
      </c>
      <c r="I14" s="161">
        <f t="shared" si="1"/>
        <v>0.625</v>
      </c>
      <c r="O14" s="343">
        <f>SUMIF(apuri!$A$9:$A$16,tilasto!A14,apuri!$F$9:$F$16)</f>
        <v>6</v>
      </c>
      <c r="P14" s="343">
        <f>SUMIF(apuri!$A$9:$A$16,tilasto!A14,apuri!$G$9:$G$16)</f>
        <v>426</v>
      </c>
      <c r="Q14" s="343">
        <f>SUMIF(apuri!$A$9:$A$16,tilasto!A14,apuri!$K$9:$K$16)</f>
        <v>2</v>
      </c>
    </row>
    <row r="15" spans="1:17" ht="20.25" customHeight="1">
      <c r="A15" s="313" t="s">
        <v>105</v>
      </c>
      <c r="B15" s="132">
        <f>SUMIF(apuri!$A$9:$A$16,tilasto!A15,apuri!$D$9:$D$16)</f>
        <v>634</v>
      </c>
      <c r="C15" s="132">
        <f>SUMIF(apuri!$A$9:$A$16,tilasto!A15,apuri!$H$9:$H$16)</f>
        <v>9441</v>
      </c>
      <c r="D15" s="132">
        <f>SUMIF(apuri!$A$9:$A$16,tilasto!A15,apuri!$E$9:$E$16)</f>
        <v>20</v>
      </c>
      <c r="E15" s="132">
        <f>SUMIF(apuri!$A$9:$A$16,tilasto!A15,apuri!$J$9:$J$16)</f>
        <v>1</v>
      </c>
      <c r="F15" s="132">
        <f>SUMIF(apuri!$A$9:$A$16,tilasto!A15,apuri!$L$9:$L$16)</f>
        <v>13</v>
      </c>
      <c r="G15" s="132">
        <f>SUMIF(apuri!$A$9:$A$16,tilasto!A15,apuri!$M$9:$M$16)</f>
        <v>0</v>
      </c>
      <c r="H15" s="161">
        <f t="shared" si="0"/>
        <v>14.891167192429021</v>
      </c>
      <c r="I15" s="161">
        <f t="shared" si="1"/>
        <v>0.65</v>
      </c>
      <c r="O15" s="343">
        <f>SUMIF(apuri!$A$9:$A$16,tilasto!A15,apuri!$F$9:$F$16)</f>
        <v>11</v>
      </c>
      <c r="P15" s="343">
        <f>SUMIF(apuri!$A$9:$A$16,tilasto!A15,apuri!$G$9:$G$16)</f>
        <v>579</v>
      </c>
      <c r="Q15" s="343">
        <f>SUMIF(apuri!$A$9:$A$16,tilasto!A15,apuri!$K$9:$K$16)</f>
        <v>9</v>
      </c>
    </row>
    <row r="16" spans="1:17" ht="20.25" customHeight="1">
      <c r="A16" s="313" t="s">
        <v>106</v>
      </c>
      <c r="B16" s="132">
        <f>SUMIF(apuri!$A$9:$A$16,tilasto!A16,apuri!$D$9:$D$16)</f>
        <v>255</v>
      </c>
      <c r="C16" s="132">
        <f>SUMIF(apuri!$A$9:$A$16,tilasto!A16,apuri!$H$9:$H$16)</f>
        <v>3795</v>
      </c>
      <c r="D16" s="132">
        <f>SUMIF(apuri!$A$9:$A$16,tilasto!A16,apuri!$E$9:$E$16)</f>
        <v>8</v>
      </c>
      <c r="E16" s="132">
        <f>SUMIF(apuri!$A$9:$A$16,tilasto!A16,apuri!$J$9:$J$16)</f>
        <v>1</v>
      </c>
      <c r="F16" s="132">
        <f>SUMIF(apuri!$A$9:$A$16,tilasto!A16,apuri!$L$9:$L$16)</f>
        <v>6</v>
      </c>
      <c r="G16" s="132">
        <f>SUMIF(apuri!$A$9:$A$16,tilasto!A16,apuri!$M$9:$M$16)</f>
        <v>0</v>
      </c>
      <c r="H16" s="161">
        <f t="shared" si="0"/>
        <v>14.882352941176471</v>
      </c>
      <c r="I16" s="161">
        <f t="shared" si="1"/>
        <v>0.75</v>
      </c>
      <c r="O16" s="343">
        <f>SUMIF(apuri!$A$9:$A$16,tilasto!A16,apuri!$F$9:$F$16)</f>
        <v>5</v>
      </c>
      <c r="P16" s="343">
        <f>SUMIF(apuri!$A$9:$A$16,tilasto!A16,apuri!$G$9:$G$16)</f>
        <v>213</v>
      </c>
      <c r="Q16" s="343">
        <f>SUMIF(apuri!$A$9:$A$16,tilasto!A16,apuri!$K$9:$K$16)</f>
        <v>3</v>
      </c>
    </row>
    <row r="17" spans="1:17" ht="20.25" customHeight="1">
      <c r="A17" s="313"/>
      <c r="B17" s="132">
        <f>SUMIF(apuri!$A$9:$A$16,tilasto!A17,apuri!$D$9:$D$16)</f>
        <v>0</v>
      </c>
      <c r="C17" s="132">
        <f>SUMIF(apuri!$A$9:$A$16,tilasto!A17,apuri!$H$9:$H$16)</f>
        <v>0</v>
      </c>
      <c r="D17" s="132">
        <f>SUMIF(apuri!$A$9:$A$16,tilasto!A17,apuri!$E$9:$E$16)</f>
        <v>0</v>
      </c>
      <c r="E17" s="132">
        <f>SUMIF(apuri!$A$9:$A$16,tilasto!A17,apuri!$J$9:$J$16)</f>
        <v>0</v>
      </c>
      <c r="F17" s="132">
        <f>SUMIF(apuri!$A$9:$A$16,tilasto!A17,apuri!$L$9:$L$16)</f>
        <v>0</v>
      </c>
      <c r="G17" s="132">
        <f>SUMIF(apuri!$A$9:$A$16,tilasto!A17,apuri!$M$9:$M$16)</f>
        <v>0</v>
      </c>
      <c r="H17" s="161" t="e">
        <f t="shared" si="0"/>
        <v>#DIV/0!</v>
      </c>
      <c r="I17" s="161" t="e">
        <f t="shared" si="1"/>
        <v>#DIV/0!</v>
      </c>
      <c r="O17" s="343">
        <f>SUMIF(apuri!$A$9:$A$16,tilasto!A17,apuri!$F$9:$F$16)</f>
        <v>0</v>
      </c>
      <c r="P17" s="343">
        <f>SUMIF(apuri!$A$9:$A$16,tilasto!A17,apuri!$G$9:$G$16)</f>
        <v>0</v>
      </c>
      <c r="Q17" s="343">
        <f>SUMIF(apuri!$A$9:$A$16,tilasto!A17,apuri!$K$9:$K$16)</f>
        <v>0</v>
      </c>
    </row>
    <row r="18" spans="1:17" ht="20.25" customHeight="1">
      <c r="A18" s="313"/>
      <c r="B18" s="132">
        <f>SUMIF(apuri!$A$9:$A$16,tilasto!A18,apuri!$D$9:$D$16)</f>
        <v>0</v>
      </c>
      <c r="C18" s="132">
        <f>SUMIF(apuri!$A$9:$A$16,tilasto!A18,apuri!$H$9:$H$16)</f>
        <v>0</v>
      </c>
      <c r="D18" s="132">
        <f>SUMIF(apuri!$A$9:$A$16,tilasto!A18,apuri!$E$9:$E$16)</f>
        <v>0</v>
      </c>
      <c r="E18" s="132">
        <f>SUMIF(apuri!$A$9:$A$16,tilasto!A18,apuri!$J$9:$J$16)</f>
        <v>0</v>
      </c>
      <c r="F18" s="132">
        <f>SUMIF(apuri!$A$9:$A$16,tilasto!A18,apuri!$L$9:$L$16)</f>
        <v>0</v>
      </c>
      <c r="G18" s="132">
        <f>SUMIF(apuri!$A$9:$A$16,tilasto!A18,apuri!$M$9:$M$16)</f>
        <v>0</v>
      </c>
      <c r="H18" s="161" t="e">
        <f t="shared" si="0"/>
        <v>#DIV/0!</v>
      </c>
      <c r="I18" s="161" t="e">
        <f t="shared" si="1"/>
        <v>#DIV/0!</v>
      </c>
      <c r="O18" s="343">
        <f>SUMIF(apuri!$A$9:$A$16,tilasto!A18,apuri!$F$9:$F$16)</f>
        <v>0</v>
      </c>
      <c r="P18" s="343">
        <f>SUMIF(apuri!$A$9:$A$16,tilasto!A18,apuri!$G$9:$G$16)</f>
        <v>0</v>
      </c>
      <c r="Q18" s="343">
        <f>SUMIF(apuri!$A$9:$A$16,tilasto!A18,apuri!$K$9:$K$16)</f>
        <v>0</v>
      </c>
    </row>
    <row r="19" spans="1:17" ht="20.25" customHeight="1">
      <c r="A19" s="313"/>
      <c r="B19" s="132">
        <f>SUMIF(apuri!$A$9:$A$16,tilasto!A19,apuri!$D$9:$D$16)</f>
        <v>0</v>
      </c>
      <c r="C19" s="132">
        <f>SUMIF(apuri!$A$9:$A$16,tilasto!A19,apuri!$H$9:$H$16)</f>
        <v>0</v>
      </c>
      <c r="D19" s="132">
        <f>SUMIF(apuri!$A$9:$A$16,tilasto!A19,apuri!$E$9:$E$16)</f>
        <v>0</v>
      </c>
      <c r="E19" s="132">
        <f>SUMIF(apuri!$A$9:$A$16,tilasto!A19,apuri!$J$9:$J$16)</f>
        <v>0</v>
      </c>
      <c r="F19" s="132">
        <f>SUMIF(apuri!$A$9:$A$16,tilasto!A19,apuri!$L$9:$L$16)</f>
        <v>0</v>
      </c>
      <c r="G19" s="132">
        <f>SUMIF(apuri!$A$9:$A$16,tilasto!A19,apuri!$M$9:$M$16)</f>
        <v>0</v>
      </c>
      <c r="H19" s="161" t="e">
        <f t="shared" si="0"/>
        <v>#DIV/0!</v>
      </c>
      <c r="I19" s="161" t="e">
        <f t="shared" si="1"/>
        <v>#DIV/0!</v>
      </c>
      <c r="O19" s="343">
        <f>SUMIF(apuri!$A$9:$A$16,tilasto!A19,apuri!$F$9:$F$16)</f>
        <v>0</v>
      </c>
      <c r="P19" s="343">
        <f>SUMIF(apuri!$A$9:$A$16,tilasto!A19,apuri!$G$9:$G$16)</f>
        <v>0</v>
      </c>
      <c r="Q19" s="343">
        <f>SUMIF(apuri!$A$9:$A$16,tilasto!A19,apuri!$K$9:$K$16)</f>
        <v>0</v>
      </c>
    </row>
    <row r="20" spans="1:17" ht="21" customHeight="1">
      <c r="A20" s="165" t="s">
        <v>44</v>
      </c>
      <c r="B20" s="162">
        <f aca="true" t="shared" si="2" ref="B20:G20">SUM(B12:B19)</f>
        <v>1887</v>
      </c>
      <c r="C20" s="162">
        <f t="shared" si="2"/>
        <v>32176</v>
      </c>
      <c r="D20" s="162">
        <f t="shared" si="2"/>
        <v>67</v>
      </c>
      <c r="E20" s="162">
        <f t="shared" si="2"/>
        <v>10</v>
      </c>
      <c r="F20" s="162">
        <f t="shared" si="2"/>
        <v>59</v>
      </c>
      <c r="G20" s="162">
        <f t="shared" si="2"/>
        <v>1</v>
      </c>
      <c r="H20" s="161">
        <f t="shared" si="0"/>
        <v>17.05140434552199</v>
      </c>
      <c r="I20" s="161">
        <f t="shared" si="1"/>
        <v>0.8955223880597015</v>
      </c>
      <c r="O20" s="343">
        <f>SUM(O12:O19)</f>
        <v>29</v>
      </c>
      <c r="P20" s="343">
        <f>SUM(P12:P19)</f>
        <v>1391</v>
      </c>
      <c r="Q20" s="343">
        <f>SUM(Q12:Q19)</f>
        <v>38</v>
      </c>
    </row>
    <row r="21" spans="2:12" ht="13.5" customHeight="1">
      <c r="B21" s="133"/>
      <c r="C21" s="131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21" customHeight="1">
      <c r="A22" s="344" t="s">
        <v>98</v>
      </c>
      <c r="B22" s="345"/>
      <c r="E22" s="133"/>
      <c r="F22" s="133"/>
      <c r="G22" s="133"/>
      <c r="H22" s="133"/>
      <c r="I22" s="133"/>
      <c r="J22" s="133"/>
      <c r="K22" s="133"/>
      <c r="L22" s="133"/>
    </row>
    <row r="23" spans="1:12" ht="13.5" customHeight="1">
      <c r="A23" s="326" t="s">
        <v>48</v>
      </c>
      <c r="B23" s="131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7" ht="29.25" customHeight="1">
      <c r="A24" s="133" t="s">
        <v>2</v>
      </c>
      <c r="B24" s="136" t="s">
        <v>27</v>
      </c>
      <c r="C24" s="136" t="s">
        <v>8</v>
      </c>
      <c r="D24" s="159" t="s">
        <v>61</v>
      </c>
      <c r="E24" s="159" t="s">
        <v>60</v>
      </c>
      <c r="F24" s="159" t="s">
        <v>63</v>
      </c>
      <c r="G24" s="136" t="s">
        <v>66</v>
      </c>
      <c r="H24" s="136" t="s">
        <v>41</v>
      </c>
      <c r="I24" s="159" t="s">
        <v>65</v>
      </c>
      <c r="O24" s="340" t="s">
        <v>58</v>
      </c>
      <c r="P24" s="341" t="s">
        <v>28</v>
      </c>
      <c r="Q24" s="342" t="s">
        <v>59</v>
      </c>
    </row>
    <row r="25" spans="1:17" ht="20.25" customHeight="1">
      <c r="A25" s="313" t="s">
        <v>107</v>
      </c>
      <c r="B25" s="132">
        <f>SUMIF(apuri!$A$19:$A$26,tilasto!A25,apuri!$D$19:$D$26)</f>
        <v>416</v>
      </c>
      <c r="C25" s="132">
        <f>SUMIF(apuri!$A$19:$A$26,tilasto!A25,apuri!$H$19:$H$26)</f>
        <v>7166</v>
      </c>
      <c r="D25" s="132">
        <f>SUMIF(apuri!$A$19:$A$26,tilasto!A25,apuri!$E$19:$E$26)</f>
        <v>15</v>
      </c>
      <c r="E25" s="132">
        <f>SUMIF(apuri!$A$19:$A$26,tilasto!A25,apuri!$J$19:$J$26)</f>
        <v>3</v>
      </c>
      <c r="F25" s="132">
        <f>SUMIF(apuri!$A$19:$A$26,tilasto!A25,apuri!$L$19:$L$26)</f>
        <v>10</v>
      </c>
      <c r="G25" s="132">
        <f>SUMIF(apuri!$A$19:$A$26,tilasto!A25,apuri!$M$19:$M$26)</f>
        <v>0</v>
      </c>
      <c r="H25" s="161">
        <f aca="true" t="shared" si="3" ref="H25:H33">C25/B25</f>
        <v>17.22596153846154</v>
      </c>
      <c r="I25" s="161">
        <f aca="true" t="shared" si="4" ref="I25:I33">(F25+G25)/D25</f>
        <v>0.6666666666666666</v>
      </c>
      <c r="O25" s="343">
        <f>SUMIF(apuri!$A$19:$A$26,tilasto!A25,apuri!$F$19:$F$26)</f>
        <v>4</v>
      </c>
      <c r="P25" s="343">
        <f>SUMIF(apuri!$A$19:$A$26,tilasto!A25,apuri!$G$19:$G$26)</f>
        <v>349</v>
      </c>
      <c r="Q25" s="343">
        <f>SUMIF(apuri!$A$19:$A$26,tilasto!A25,apuri!$K$19:$K$26)</f>
        <v>11</v>
      </c>
    </row>
    <row r="26" spans="1:17" ht="20.25" customHeight="1">
      <c r="A26" s="313" t="s">
        <v>108</v>
      </c>
      <c r="B26" s="132">
        <f>SUMIF(apuri!$A$19:$A$26,tilasto!A26,apuri!$D$19:$D$26)</f>
        <v>506</v>
      </c>
      <c r="C26" s="132">
        <f>SUMIF(apuri!$A$19:$A$26,tilasto!A26,apuri!$H$19:$H$26)</f>
        <v>8145</v>
      </c>
      <c r="D26" s="132">
        <f>SUMIF(apuri!$A$19:$A$26,tilasto!A26,apuri!$E$19:$E$26)</f>
        <v>17</v>
      </c>
      <c r="E26" s="132">
        <f>SUMIF(apuri!$A$19:$A$26,tilasto!A26,apuri!$J$19:$J$26)</f>
        <v>3</v>
      </c>
      <c r="F26" s="132">
        <f>SUMIF(apuri!$A$19:$A$26,tilasto!A26,apuri!$L$19:$L$26)</f>
        <v>13</v>
      </c>
      <c r="G26" s="132">
        <f>SUMIF(apuri!$A$19:$A$26,tilasto!A26,apuri!$M$19:$M$26)</f>
        <v>0</v>
      </c>
      <c r="H26" s="161">
        <f t="shared" si="3"/>
        <v>16.09683794466403</v>
      </c>
      <c r="I26" s="161">
        <f t="shared" si="4"/>
        <v>0.7647058823529411</v>
      </c>
      <c r="O26" s="343">
        <f>SUMIF(apuri!$A$19:$A$26,tilasto!A26,apuri!$F$19:$F$26)</f>
        <v>7</v>
      </c>
      <c r="P26" s="343">
        <f>SUMIF(apuri!$A$19:$A$26,tilasto!A26,apuri!$G$19:$G$26)</f>
        <v>372</v>
      </c>
      <c r="Q26" s="343">
        <f>SUMIF(apuri!$A$19:$A$26,tilasto!A26,apuri!$K$19:$K$26)</f>
        <v>10</v>
      </c>
    </row>
    <row r="27" spans="1:17" ht="20.25" customHeight="1">
      <c r="A27" s="313" t="s">
        <v>109</v>
      </c>
      <c r="B27" s="132">
        <f>SUMIF(apuri!$A$19:$A$26,tilasto!A27,apuri!$D$19:$D$26)</f>
        <v>510</v>
      </c>
      <c r="C27" s="132">
        <f>SUMIF(apuri!$A$19:$A$26,tilasto!A27,apuri!$H$19:$H$26)</f>
        <v>6918</v>
      </c>
      <c r="D27" s="132">
        <f>SUMIF(apuri!$A$19:$A$26,tilasto!A27,apuri!$E$19:$E$26)</f>
        <v>16</v>
      </c>
      <c r="E27" s="132">
        <f>SUMIF(apuri!$A$19:$A$26,tilasto!A27,apuri!$J$19:$J$26)</f>
        <v>1</v>
      </c>
      <c r="F27" s="132">
        <f>SUMIF(apuri!$A$19:$A$26,tilasto!A27,apuri!$L$19:$L$26)</f>
        <v>7</v>
      </c>
      <c r="G27" s="132">
        <f>SUMIF(apuri!$A$19:$A$26,tilasto!A27,apuri!$M$19:$M$26)</f>
        <v>0</v>
      </c>
      <c r="H27" s="161">
        <f t="shared" si="3"/>
        <v>13.564705882352941</v>
      </c>
      <c r="I27" s="161">
        <f t="shared" si="4"/>
        <v>0.4375</v>
      </c>
      <c r="O27" s="343">
        <f>SUMIF(apuri!$A$19:$A$26,tilasto!A27,apuri!$F$19:$F$26)</f>
        <v>11</v>
      </c>
      <c r="P27" s="343">
        <f>SUMIF(apuri!$A$19:$A$26,tilasto!A27,apuri!$G$19:$G$26)</f>
        <v>1098</v>
      </c>
      <c r="Q27" s="343">
        <f>SUMIF(apuri!$A$19:$A$26,tilasto!A27,apuri!$K$19:$K$26)</f>
        <v>5</v>
      </c>
    </row>
    <row r="28" spans="1:17" ht="20.25" customHeight="1">
      <c r="A28" s="313" t="s">
        <v>110</v>
      </c>
      <c r="B28" s="132">
        <f>SUMIF(apuri!$A$19:$A$26,tilasto!A28,apuri!$D$19:$D$26)</f>
        <v>402</v>
      </c>
      <c r="C28" s="132">
        <f>SUMIF(apuri!$A$19:$A$26,tilasto!A28,apuri!$H$19:$H$26)</f>
        <v>6643</v>
      </c>
      <c r="D28" s="132">
        <f>SUMIF(apuri!$A$19:$A$26,tilasto!A28,apuri!$E$19:$E$26)</f>
        <v>14</v>
      </c>
      <c r="E28" s="132">
        <f>SUMIF(apuri!$A$19:$A$26,tilasto!A28,apuri!$J$19:$J$26)</f>
        <v>3</v>
      </c>
      <c r="F28" s="132">
        <f>SUMIF(apuri!$A$19:$A$26,tilasto!A28,apuri!$L$19:$L$26)</f>
        <v>11</v>
      </c>
      <c r="G28" s="132">
        <f>SUMIF(apuri!$A$19:$A$26,tilasto!A28,apuri!$M$19:$M$26)</f>
        <v>1</v>
      </c>
      <c r="H28" s="161">
        <f t="shared" si="3"/>
        <v>16.524875621890548</v>
      </c>
      <c r="I28" s="161">
        <f t="shared" si="4"/>
        <v>0.8571428571428571</v>
      </c>
      <c r="O28" s="343">
        <f>SUMIF(apuri!$A$19:$A$26,tilasto!A28,apuri!$F$19:$F$26)</f>
        <v>5</v>
      </c>
      <c r="P28" s="343">
        <f>SUMIF(apuri!$A$19:$A$26,tilasto!A28,apuri!$G$19:$G$26)</f>
        <v>371</v>
      </c>
      <c r="Q28" s="343">
        <f>SUMIF(apuri!$A$19:$A$26,tilasto!A28,apuri!$K$19:$K$26)</f>
        <v>9</v>
      </c>
    </row>
    <row r="29" spans="1:17" ht="20.25" customHeight="1">
      <c r="A29" s="313"/>
      <c r="B29" s="132">
        <f>SUMIF(apuri!$A$19:$A$26,tilasto!A29,apuri!$D$19:$D$26)</f>
        <v>0</v>
      </c>
      <c r="C29" s="132">
        <f>SUMIF(apuri!$A$19:$A$26,tilasto!A29,apuri!$H$19:$H$26)</f>
        <v>0</v>
      </c>
      <c r="D29" s="132">
        <f>SUMIF(apuri!$A$19:$A$26,tilasto!A29,apuri!$E$19:$E$26)</f>
        <v>0</v>
      </c>
      <c r="E29" s="132">
        <f>SUMIF(apuri!$A$19:$A$26,tilasto!A29,apuri!$J$19:$J$26)</f>
        <v>0</v>
      </c>
      <c r="F29" s="132">
        <f>SUMIF(apuri!$A$19:$A$26,tilasto!A29,apuri!$L$19:$L$26)</f>
        <v>0</v>
      </c>
      <c r="G29" s="132">
        <f>SUMIF(apuri!$A$19:$A$26,tilasto!A29,apuri!$M$19:$M$26)</f>
        <v>0</v>
      </c>
      <c r="H29" s="161" t="e">
        <f t="shared" si="3"/>
        <v>#DIV/0!</v>
      </c>
      <c r="I29" s="161" t="e">
        <f t="shared" si="4"/>
        <v>#DIV/0!</v>
      </c>
      <c r="O29" s="343">
        <f>SUMIF(apuri!$A$19:$A$26,tilasto!A29,apuri!$F$19:$F$26)</f>
        <v>0</v>
      </c>
      <c r="P29" s="343">
        <f>SUMIF(apuri!$A$19:$A$26,tilasto!A29,apuri!$G$19:$G$26)</f>
        <v>0</v>
      </c>
      <c r="Q29" s="343">
        <f>SUMIF(apuri!$A$19:$A$26,tilasto!A29,apuri!$K$19:$K$26)</f>
        <v>0</v>
      </c>
    </row>
    <row r="30" spans="1:17" ht="20.25" customHeight="1">
      <c r="A30" s="313"/>
      <c r="B30" s="132">
        <f>SUMIF(apuri!$A$19:$A$26,tilasto!A30,apuri!$D$19:$D$26)</f>
        <v>0</v>
      </c>
      <c r="C30" s="132">
        <f>SUMIF(apuri!$A$19:$A$26,tilasto!A30,apuri!$H$19:$H$26)</f>
        <v>0</v>
      </c>
      <c r="D30" s="132">
        <f>SUMIF(apuri!$A$19:$A$26,tilasto!A30,apuri!$E$19:$E$26)</f>
        <v>0</v>
      </c>
      <c r="E30" s="132">
        <f>SUMIF(apuri!$A$19:$A$26,tilasto!A30,apuri!$J$19:$J$26)</f>
        <v>0</v>
      </c>
      <c r="F30" s="132">
        <f>SUMIF(apuri!$A$19:$A$26,tilasto!A30,apuri!$L$19:$L$26)</f>
        <v>0</v>
      </c>
      <c r="G30" s="132">
        <f>SUMIF(apuri!$A$19:$A$26,tilasto!A30,apuri!$M$19:$M$26)</f>
        <v>0</v>
      </c>
      <c r="H30" s="161" t="e">
        <f t="shared" si="3"/>
        <v>#DIV/0!</v>
      </c>
      <c r="I30" s="161" t="e">
        <f t="shared" si="4"/>
        <v>#DIV/0!</v>
      </c>
      <c r="O30" s="343">
        <f>SUMIF(apuri!$A$19:$A$26,tilasto!A30,apuri!$F$19:$F$26)</f>
        <v>0</v>
      </c>
      <c r="P30" s="343">
        <f>SUMIF(apuri!$A$19:$A$26,tilasto!A30,apuri!$G$19:$G$26)</f>
        <v>0</v>
      </c>
      <c r="Q30" s="343">
        <f>SUMIF(apuri!$A$19:$A$26,tilasto!A30,apuri!$K$19:$K$26)</f>
        <v>0</v>
      </c>
    </row>
    <row r="31" spans="1:17" ht="20.25" customHeight="1">
      <c r="A31" s="313"/>
      <c r="B31" s="132">
        <f>SUMIF(apuri!$A$19:$A$26,tilasto!A31,apuri!$D$19:$D$26)</f>
        <v>0</v>
      </c>
      <c r="C31" s="132">
        <f>SUMIF(apuri!$A$19:$A$26,tilasto!A31,apuri!$H$19:$H$26)</f>
        <v>0</v>
      </c>
      <c r="D31" s="132">
        <f>SUMIF(apuri!$A$19:$A$26,tilasto!A31,apuri!$E$19:$E$26)</f>
        <v>0</v>
      </c>
      <c r="E31" s="132">
        <f>SUMIF(apuri!$A$19:$A$26,tilasto!A31,apuri!$J$19:$J$26)</f>
        <v>0</v>
      </c>
      <c r="F31" s="132">
        <f>SUMIF(apuri!$A$19:$A$26,tilasto!A31,apuri!$L$19:$L$26)</f>
        <v>0</v>
      </c>
      <c r="G31" s="132">
        <f>SUMIF(apuri!$A$19:$A$26,tilasto!A31,apuri!$M$19:$M$26)</f>
        <v>0</v>
      </c>
      <c r="H31" s="161" t="e">
        <f t="shared" si="3"/>
        <v>#DIV/0!</v>
      </c>
      <c r="I31" s="161" t="e">
        <f t="shared" si="4"/>
        <v>#DIV/0!</v>
      </c>
      <c r="O31" s="343">
        <f>SUMIF(apuri!$A$19:$A$26,tilasto!A31,apuri!$F$19:$F$26)</f>
        <v>0</v>
      </c>
      <c r="P31" s="343">
        <f>SUMIF(apuri!$A$19:$A$26,tilasto!A31,apuri!$G$19:$G$26)</f>
        <v>0</v>
      </c>
      <c r="Q31" s="343">
        <f>SUMIF(apuri!$A$19:$A$26,tilasto!A31,apuri!$K$19:$K$26)</f>
        <v>0</v>
      </c>
    </row>
    <row r="32" spans="1:17" ht="20.25" customHeight="1">
      <c r="A32" s="313"/>
      <c r="B32" s="132">
        <f>SUMIF(apuri!$A$19:$A$26,tilasto!A32,apuri!$D$19:$D$26)</f>
        <v>0</v>
      </c>
      <c r="C32" s="132">
        <f>SUMIF(apuri!$A$19:$A$26,tilasto!A32,apuri!$H$19:$H$26)</f>
        <v>0</v>
      </c>
      <c r="D32" s="132">
        <f>SUMIF(apuri!$A$19:$A$26,tilasto!A32,apuri!$E$19:$E$26)</f>
        <v>0</v>
      </c>
      <c r="E32" s="132">
        <f>SUMIF(apuri!$A$19:$A$26,tilasto!A32,apuri!$J$19:$J$26)</f>
        <v>0</v>
      </c>
      <c r="F32" s="132">
        <f>SUMIF(apuri!$A$19:$A$26,tilasto!A32,apuri!$L$19:$L$26)</f>
        <v>0</v>
      </c>
      <c r="G32" s="132">
        <f>SUMIF(apuri!$A$19:$A$26,tilasto!A32,apuri!$M$19:$M$26)</f>
        <v>0</v>
      </c>
      <c r="H32" s="161" t="e">
        <f t="shared" si="3"/>
        <v>#DIV/0!</v>
      </c>
      <c r="I32" s="161" t="e">
        <f t="shared" si="4"/>
        <v>#DIV/0!</v>
      </c>
      <c r="O32" s="343">
        <f>SUMIF(apuri!$A$19:$A$26,tilasto!A32,apuri!$F$19:$F$26)</f>
        <v>0</v>
      </c>
      <c r="P32" s="343">
        <f>SUMIF(apuri!$A$19:$A$26,tilasto!A32,apuri!$G$19:$G$26)</f>
        <v>0</v>
      </c>
      <c r="Q32" s="343">
        <f>SUMIF(apuri!$A$19:$A$26,tilasto!A32,apuri!$K$19:$K$26)</f>
        <v>0</v>
      </c>
    </row>
    <row r="33" spans="1:17" ht="21" customHeight="1">
      <c r="A33" s="165" t="s">
        <v>44</v>
      </c>
      <c r="B33" s="162">
        <f aca="true" t="shared" si="5" ref="B33:G33">SUM(B25:B32)</f>
        <v>1834</v>
      </c>
      <c r="C33" s="162">
        <f t="shared" si="5"/>
        <v>28872</v>
      </c>
      <c r="D33" s="162">
        <f t="shared" si="5"/>
        <v>62</v>
      </c>
      <c r="E33" s="162">
        <f t="shared" si="5"/>
        <v>10</v>
      </c>
      <c r="F33" s="162">
        <f t="shared" si="5"/>
        <v>41</v>
      </c>
      <c r="G33" s="162">
        <f t="shared" si="5"/>
        <v>1</v>
      </c>
      <c r="H33" s="161">
        <f t="shared" si="3"/>
        <v>15.742639040348964</v>
      </c>
      <c r="I33" s="161">
        <f t="shared" si="4"/>
        <v>0.6774193548387096</v>
      </c>
      <c r="O33" s="343">
        <f>SUM(O25:O32)</f>
        <v>27</v>
      </c>
      <c r="P33" s="343">
        <f>SUM(P25:P32)</f>
        <v>2190</v>
      </c>
      <c r="Q33" s="343">
        <f>SUM(Q25:Q32)</f>
        <v>35</v>
      </c>
    </row>
    <row r="34" spans="2:12" ht="11.25" customHeight="1">
      <c r="B34" s="133"/>
      <c r="C34" s="131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21" customHeight="1">
      <c r="A35" s="344" t="s">
        <v>99</v>
      </c>
      <c r="B35" s="345"/>
      <c r="E35" s="133"/>
      <c r="F35" s="133"/>
      <c r="G35" s="133"/>
      <c r="H35" s="133"/>
      <c r="I35" s="133"/>
      <c r="J35" s="133"/>
      <c r="K35" s="133"/>
      <c r="L35" s="133"/>
    </row>
    <row r="36" spans="1:12" ht="12.75" customHeight="1">
      <c r="A36" s="326" t="s">
        <v>49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7" ht="25.5">
      <c r="A37" s="133" t="s">
        <v>2</v>
      </c>
      <c r="B37" s="136" t="s">
        <v>27</v>
      </c>
      <c r="C37" s="136" t="s">
        <v>8</v>
      </c>
      <c r="D37" s="159" t="s">
        <v>61</v>
      </c>
      <c r="E37" s="159" t="s">
        <v>60</v>
      </c>
      <c r="F37" s="159" t="s">
        <v>63</v>
      </c>
      <c r="G37" s="136" t="s">
        <v>66</v>
      </c>
      <c r="H37" s="136" t="s">
        <v>41</v>
      </c>
      <c r="I37" s="159" t="s">
        <v>65</v>
      </c>
      <c r="O37" s="340" t="s">
        <v>58</v>
      </c>
      <c r="P37" s="341" t="s">
        <v>28</v>
      </c>
      <c r="Q37" s="342" t="s">
        <v>59</v>
      </c>
    </row>
    <row r="38" spans="1:17" ht="21" customHeight="1">
      <c r="A38" s="313" t="s">
        <v>111</v>
      </c>
      <c r="B38" s="132">
        <f>SUMIF(apuri!$A$29:$A$36,tilasto!A38,apuri!$D$29:$D$36)</f>
        <v>442</v>
      </c>
      <c r="C38" s="132">
        <f>SUMIF(apuri!$A$29:$A$36,tilasto!A38,apuri!$H$29:$H$36)</f>
        <v>6753</v>
      </c>
      <c r="D38" s="132">
        <f>SUMIF(apuri!$A$29:$A$36,tilasto!A38,apuri!$E$29:$E$36)</f>
        <v>15</v>
      </c>
      <c r="E38" s="132">
        <f>SUMIF(apuri!$A$29:$A$36,tilasto!A38,apuri!$J$29:$J$36)</f>
        <v>1</v>
      </c>
      <c r="F38" s="132">
        <f>SUMIF(apuri!$A$29:$A$36,tilasto!A38,apuri!$L$29:$L$36)</f>
        <v>5</v>
      </c>
      <c r="G38" s="132">
        <f>SUMIF(apuri!$A$29:$A$36,tilasto!A38,apuri!$M$29:$M$36)</f>
        <v>0</v>
      </c>
      <c r="H38" s="161">
        <f aca="true" t="shared" si="6" ref="H38:H46">C38/B38</f>
        <v>15.278280542986426</v>
      </c>
      <c r="I38" s="161">
        <f aca="true" t="shared" si="7" ref="I38:I46">(F38+G38)/D38</f>
        <v>0.3333333333333333</v>
      </c>
      <c r="O38" s="343">
        <f>SUMIF(apuri!$A$29:$A$36,tilasto!A38,apuri!$F$29:$F$36)</f>
        <v>9</v>
      </c>
      <c r="P38" s="343">
        <f>SUMIF(apuri!$A$29:$A$36,tilasto!A38,apuri!$G$29:$G$36)</f>
        <v>762</v>
      </c>
      <c r="Q38" s="343">
        <f>SUMIF(apuri!$A$29:$A$36,tilasto!A38,apuri!$K$29:$K$36)</f>
        <v>6</v>
      </c>
    </row>
    <row r="39" spans="1:17" ht="21" customHeight="1">
      <c r="A39" s="313" t="s">
        <v>114</v>
      </c>
      <c r="B39" s="132">
        <f>SUMIF(apuri!$A$29:$A$36,tilasto!A39,apuri!$D$29:$D$36)</f>
        <v>466</v>
      </c>
      <c r="C39" s="132">
        <f>SUMIF(apuri!$A$29:$A$36,tilasto!A39,apuri!$H$29:$H$36)</f>
        <v>6780</v>
      </c>
      <c r="D39" s="132">
        <f>SUMIF(apuri!$A$29:$A$36,tilasto!A39,apuri!$E$29:$E$36)</f>
        <v>15</v>
      </c>
      <c r="E39" s="132">
        <f>SUMIF(apuri!$A$29:$A$36,tilasto!A39,apuri!$J$29:$J$36)</f>
        <v>0</v>
      </c>
      <c r="F39" s="132">
        <f>SUMIF(apuri!$A$29:$A$36,tilasto!A39,apuri!$L$29:$L$36)</f>
        <v>8</v>
      </c>
      <c r="G39" s="132">
        <f>SUMIF(apuri!$A$29:$A$36,tilasto!A39,apuri!$M$29:$M$36)</f>
        <v>0</v>
      </c>
      <c r="H39" s="161">
        <f t="shared" si="6"/>
        <v>14.549356223175966</v>
      </c>
      <c r="I39" s="161">
        <f t="shared" si="7"/>
        <v>0.5333333333333333</v>
      </c>
      <c r="O39" s="343">
        <f>SUMIF(apuri!$A$29:$A$36,tilasto!A39,apuri!$F$29:$F$36)</f>
        <v>12</v>
      </c>
      <c r="P39" s="343">
        <f>SUMIF(apuri!$A$29:$A$36,tilasto!A39,apuri!$G$29:$G$36)</f>
        <v>735</v>
      </c>
      <c r="Q39" s="343">
        <f>SUMIF(apuri!$A$29:$A$36,tilasto!A39,apuri!$K$29:$K$36)</f>
        <v>3</v>
      </c>
    </row>
    <row r="40" spans="1:17" ht="21" customHeight="1">
      <c r="A40" s="313" t="s">
        <v>112</v>
      </c>
      <c r="B40" s="132">
        <f>SUMIF(apuri!$A$29:$A$36,tilasto!A40,apuri!$D$29:$D$36)</f>
        <v>392</v>
      </c>
      <c r="C40" s="132">
        <f>SUMIF(apuri!$A$29:$A$36,tilasto!A40,apuri!$H$29:$H$36)</f>
        <v>6386</v>
      </c>
      <c r="D40" s="132">
        <f>SUMIF(apuri!$A$29:$A$36,tilasto!A40,apuri!$E$29:$E$36)</f>
        <v>14</v>
      </c>
      <c r="E40" s="132">
        <f>SUMIF(apuri!$A$29:$A$36,tilasto!A40,apuri!$J$29:$J$36)</f>
        <v>1</v>
      </c>
      <c r="F40" s="132">
        <f>SUMIF(apuri!$A$29:$A$36,tilasto!A40,apuri!$L$29:$L$36)</f>
        <v>19</v>
      </c>
      <c r="G40" s="132">
        <f>SUMIF(apuri!$A$29:$A$36,tilasto!A40,apuri!$M$29:$M$36)</f>
        <v>1</v>
      </c>
      <c r="H40" s="161">
        <f t="shared" si="6"/>
        <v>16.290816326530614</v>
      </c>
      <c r="I40" s="161">
        <f t="shared" si="7"/>
        <v>1.4285714285714286</v>
      </c>
      <c r="O40" s="343">
        <f>SUMIF(apuri!$A$29:$A$36,tilasto!A40,apuri!$F$29:$F$36)</f>
        <v>9</v>
      </c>
      <c r="P40" s="343">
        <f>SUMIF(apuri!$A$29:$A$36,tilasto!A40,apuri!$G$29:$G$36)</f>
        <v>628</v>
      </c>
      <c r="Q40" s="343">
        <f>SUMIF(apuri!$A$29:$A$36,tilasto!A40,apuri!$K$29:$K$36)</f>
        <v>5</v>
      </c>
    </row>
    <row r="41" spans="1:17" ht="21" customHeight="1">
      <c r="A41" s="313" t="s">
        <v>113</v>
      </c>
      <c r="B41" s="132">
        <f>SUMIF(apuri!$A$29:$A$36,tilasto!A41,apuri!$D$29:$D$36)</f>
        <v>514</v>
      </c>
      <c r="C41" s="132">
        <f>SUMIF(apuri!$A$29:$A$36,tilasto!A41,apuri!$H$29:$H$36)</f>
        <v>7630</v>
      </c>
      <c r="D41" s="132">
        <f>SUMIF(apuri!$A$29:$A$36,tilasto!A41,apuri!$E$29:$E$36)</f>
        <v>17</v>
      </c>
      <c r="E41" s="132">
        <f>SUMIF(apuri!$A$29:$A$36,tilasto!A41,apuri!$J$29:$J$36)</f>
        <v>2</v>
      </c>
      <c r="F41" s="132">
        <f>SUMIF(apuri!$A$29:$A$36,tilasto!A41,apuri!$L$29:$L$36)</f>
        <v>12</v>
      </c>
      <c r="G41" s="132">
        <f>SUMIF(apuri!$A$29:$A$36,tilasto!A41,apuri!$M$29:$M$36)</f>
        <v>0</v>
      </c>
      <c r="H41" s="161">
        <f t="shared" si="6"/>
        <v>14.844357976653697</v>
      </c>
      <c r="I41" s="161">
        <f t="shared" si="7"/>
        <v>0.7058823529411765</v>
      </c>
      <c r="O41" s="343">
        <f>SUMIF(apuri!$A$29:$A$36,tilasto!A41,apuri!$F$29:$F$36)</f>
        <v>9</v>
      </c>
      <c r="P41" s="343">
        <f>SUMIF(apuri!$A$29:$A$36,tilasto!A41,apuri!$G$29:$G$36)</f>
        <v>887</v>
      </c>
      <c r="Q41" s="343">
        <f>SUMIF(apuri!$A$29:$A$36,tilasto!A41,apuri!$K$29:$K$36)</f>
        <v>8</v>
      </c>
    </row>
    <row r="42" spans="1:17" ht="21" customHeight="1">
      <c r="A42" s="313"/>
      <c r="B42" s="132">
        <f>SUMIF(apuri!$A$29:$A$36,tilasto!A42,apuri!$D$29:$D$36)</f>
        <v>0</v>
      </c>
      <c r="C42" s="132">
        <f>SUMIF(apuri!$A$29:$A$36,tilasto!A42,apuri!$H$29:$H$36)</f>
        <v>0</v>
      </c>
      <c r="D42" s="132">
        <f>SUMIF(apuri!$A$29:$A$36,tilasto!A42,apuri!$E$29:$E$36)</f>
        <v>0</v>
      </c>
      <c r="E42" s="132">
        <f>SUMIF(apuri!$A$29:$A$36,tilasto!A42,apuri!$J$29:$J$36)</f>
        <v>0</v>
      </c>
      <c r="F42" s="132">
        <f>SUMIF(apuri!$A$29:$A$36,tilasto!A42,apuri!$L$29:$L$36)</f>
        <v>0</v>
      </c>
      <c r="G42" s="132">
        <f>SUMIF(apuri!$A$29:$A$36,tilasto!A42,apuri!$M$29:$M$36)</f>
        <v>0</v>
      </c>
      <c r="H42" s="161" t="e">
        <f t="shared" si="6"/>
        <v>#DIV/0!</v>
      </c>
      <c r="I42" s="161" t="e">
        <f t="shared" si="7"/>
        <v>#DIV/0!</v>
      </c>
      <c r="O42" s="343">
        <f>SUMIF(apuri!$A$29:$A$36,tilasto!A42,apuri!$F$29:$F$36)</f>
        <v>0</v>
      </c>
      <c r="P42" s="343">
        <f>SUMIF(apuri!$A$29:$A$36,tilasto!A42,apuri!$G$29:$G$36)</f>
        <v>0</v>
      </c>
      <c r="Q42" s="343">
        <f>SUMIF(apuri!$A$29:$A$36,tilasto!A42,apuri!$K$29:$K$36)</f>
        <v>0</v>
      </c>
    </row>
    <row r="43" spans="1:17" ht="21" customHeight="1">
      <c r="A43" s="313"/>
      <c r="B43" s="132">
        <f>SUMIF(apuri!$A$29:$A$36,tilasto!A43,apuri!$D$29:$D$36)</f>
        <v>0</v>
      </c>
      <c r="C43" s="132">
        <f>SUMIF(apuri!$A$29:$A$36,tilasto!A43,apuri!$H$29:$H$36)</f>
        <v>0</v>
      </c>
      <c r="D43" s="132">
        <f>SUMIF(apuri!$A$29:$A$36,tilasto!A43,apuri!$E$29:$E$36)</f>
        <v>0</v>
      </c>
      <c r="E43" s="132">
        <f>SUMIF(apuri!$A$29:$A$36,tilasto!A43,apuri!$J$29:$J$36)</f>
        <v>0</v>
      </c>
      <c r="F43" s="132">
        <f>SUMIF(apuri!$A$29:$A$36,tilasto!A43,apuri!$L$29:$L$36)</f>
        <v>0</v>
      </c>
      <c r="G43" s="132">
        <f>SUMIF(apuri!$A$29:$A$36,tilasto!A43,apuri!$M$29:$M$36)</f>
        <v>0</v>
      </c>
      <c r="H43" s="161" t="e">
        <f t="shared" si="6"/>
        <v>#DIV/0!</v>
      </c>
      <c r="I43" s="161" t="e">
        <f t="shared" si="7"/>
        <v>#DIV/0!</v>
      </c>
      <c r="O43" s="343">
        <f>SUMIF(apuri!$A$29:$A$36,tilasto!A43,apuri!$F$29:$F$36)</f>
        <v>0</v>
      </c>
      <c r="P43" s="343">
        <f>SUMIF(apuri!$A$29:$A$36,tilasto!A43,apuri!$G$29:$G$36)</f>
        <v>0</v>
      </c>
      <c r="Q43" s="343">
        <f>SUMIF(apuri!$A$29:$A$36,tilasto!A43,apuri!$K$29:$K$36)</f>
        <v>0</v>
      </c>
    </row>
    <row r="44" spans="1:17" ht="21" customHeight="1">
      <c r="A44" s="313"/>
      <c r="B44" s="132">
        <f>SUMIF(apuri!$A$29:$A$36,tilasto!A44,apuri!$D$29:$D$36)</f>
        <v>0</v>
      </c>
      <c r="C44" s="132">
        <f>SUMIF(apuri!$A$29:$A$36,tilasto!A44,apuri!$H$29:$H$36)</f>
        <v>0</v>
      </c>
      <c r="D44" s="132">
        <f>SUMIF(apuri!$A$29:$A$36,tilasto!A44,apuri!$E$29:$E$36)</f>
        <v>0</v>
      </c>
      <c r="E44" s="132">
        <f>SUMIF(apuri!$A$29:$A$36,tilasto!A44,apuri!$J$29:$J$36)</f>
        <v>0</v>
      </c>
      <c r="F44" s="132">
        <f>SUMIF(apuri!$A$29:$A$36,tilasto!A44,apuri!$L$29:$L$36)</f>
        <v>0</v>
      </c>
      <c r="G44" s="132">
        <f>SUMIF(apuri!$A$29:$A$36,tilasto!A44,apuri!$M$29:$M$36)</f>
        <v>0</v>
      </c>
      <c r="H44" s="161" t="e">
        <f t="shared" si="6"/>
        <v>#DIV/0!</v>
      </c>
      <c r="I44" s="161" t="e">
        <f t="shared" si="7"/>
        <v>#DIV/0!</v>
      </c>
      <c r="O44" s="343">
        <f>SUMIF(apuri!$A$29:$A$36,tilasto!A44,apuri!$F$29:$F$36)</f>
        <v>0</v>
      </c>
      <c r="P44" s="343">
        <f>SUMIF(apuri!$A$29:$A$36,tilasto!A44,apuri!$G$29:$G$36)</f>
        <v>0</v>
      </c>
      <c r="Q44" s="343">
        <f>SUMIF(apuri!$A$29:$A$36,tilasto!A44,apuri!$K$29:$K$36)</f>
        <v>0</v>
      </c>
    </row>
    <row r="45" spans="1:17" ht="21" customHeight="1">
      <c r="A45" s="313"/>
      <c r="B45" s="132">
        <f>SUMIF(apuri!$A$29:$A$36,tilasto!A45,apuri!$D$29:$D$36)</f>
        <v>0</v>
      </c>
      <c r="C45" s="132">
        <f>SUMIF(apuri!$A$29:$A$36,tilasto!A45,apuri!$H$29:$H$36)</f>
        <v>0</v>
      </c>
      <c r="D45" s="132">
        <f>SUMIF(apuri!$A$29:$A$36,tilasto!A45,apuri!$E$29:$E$36)</f>
        <v>0</v>
      </c>
      <c r="E45" s="132">
        <f>SUMIF(apuri!$A$29:$A$36,tilasto!A45,apuri!$J$29:$J$36)</f>
        <v>0</v>
      </c>
      <c r="F45" s="132">
        <f>SUMIF(apuri!$A$29:$A$36,tilasto!A45,apuri!$L$29:$L$36)</f>
        <v>0</v>
      </c>
      <c r="G45" s="132">
        <f>SUMIF(apuri!$A$29:$A$36,tilasto!A45,apuri!$M$29:$M$36)</f>
        <v>0</v>
      </c>
      <c r="H45" s="161" t="e">
        <f t="shared" si="6"/>
        <v>#DIV/0!</v>
      </c>
      <c r="I45" s="161" t="e">
        <f t="shared" si="7"/>
        <v>#DIV/0!</v>
      </c>
      <c r="O45" s="343">
        <f>SUMIF(apuri!$A$29:$A$36,tilasto!A45,apuri!$F$29:$F$36)</f>
        <v>0</v>
      </c>
      <c r="P45" s="343">
        <f>SUMIF(apuri!$A$29:$A$36,tilasto!A45,apuri!$G$29:$G$36)</f>
        <v>0</v>
      </c>
      <c r="Q45" s="343">
        <f>SUMIF(apuri!$A$29:$A$36,tilasto!A45,apuri!$K$29:$K$36)</f>
        <v>0</v>
      </c>
    </row>
    <row r="46" spans="1:17" ht="21" customHeight="1">
      <c r="A46" s="165" t="s">
        <v>44</v>
      </c>
      <c r="B46" s="162">
        <f aca="true" t="shared" si="8" ref="B46:G46">SUM(B38:B45)</f>
        <v>1814</v>
      </c>
      <c r="C46" s="162">
        <f t="shared" si="8"/>
        <v>27549</v>
      </c>
      <c r="D46" s="162">
        <f t="shared" si="8"/>
        <v>61</v>
      </c>
      <c r="E46" s="162">
        <f t="shared" si="8"/>
        <v>4</v>
      </c>
      <c r="F46" s="162">
        <f t="shared" si="8"/>
        <v>44</v>
      </c>
      <c r="G46" s="162">
        <f t="shared" si="8"/>
        <v>1</v>
      </c>
      <c r="H46" s="161">
        <f t="shared" si="6"/>
        <v>15.186879823594268</v>
      </c>
      <c r="I46" s="161">
        <f t="shared" si="7"/>
        <v>0.7377049180327869</v>
      </c>
      <c r="O46" s="343">
        <f>SUM(O38:O45)</f>
        <v>39</v>
      </c>
      <c r="P46" s="343">
        <f>SUM(P38:P45)</f>
        <v>3012</v>
      </c>
      <c r="Q46" s="343">
        <f>SUM(Q38:Q45)</f>
        <v>22</v>
      </c>
    </row>
    <row r="47" spans="2:12" ht="3.75" customHeight="1">
      <c r="B47" s="133"/>
      <c r="C47" s="133"/>
      <c r="D47" s="133"/>
      <c r="E47" s="133"/>
      <c r="J47" s="133"/>
      <c r="K47" s="133"/>
      <c r="L47" s="133"/>
    </row>
    <row r="48" spans="2:12" ht="15">
      <c r="B48" s="261">
        <f>IF('Ottelu 1'!Q39="Ottelupöytäkirja on keskeneräinen !!!","OTTELUN 1 pöytäkirja on kesken","")</f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5">
      <c r="B49" s="261">
        <f>IF('Ottelu 2'!Q39="Ottelupöytäkirja on keskeneräinen !!!","OTTELUN 2 pöytäkirja on kesken","")</f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5">
      <c r="B50" s="261">
        <f>IF('Ottelu 3'!Q39="Ottelupöytäkirja on keskeneräinen !!!","OTTELUN 3 pöytäkirja on kesken","")</f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ht="18.75" customHeight="1">
      <c r="A51" s="160" t="s">
        <v>3</v>
      </c>
      <c r="B51" s="348" t="s">
        <v>100</v>
      </c>
      <c r="C51" s="349"/>
      <c r="D51" s="349"/>
      <c r="E51" s="349"/>
      <c r="F51" s="349"/>
      <c r="G51" s="133"/>
      <c r="H51" s="160" t="s">
        <v>70</v>
      </c>
      <c r="I51" s="350" t="s">
        <v>101</v>
      </c>
      <c r="J51" s="350"/>
      <c r="K51" s="350"/>
      <c r="L51" s="349"/>
    </row>
    <row r="52" spans="4:12" ht="12" customHeight="1">
      <c r="D52" s="133"/>
      <c r="E52" s="133"/>
      <c r="F52" s="133"/>
      <c r="G52" s="133"/>
      <c r="H52" s="133"/>
      <c r="I52" s="133"/>
      <c r="J52" s="133"/>
      <c r="K52" s="133"/>
      <c r="L52" s="133"/>
    </row>
  </sheetData>
  <sheetProtection password="C5B2" sheet="1" objects="1" scenarios="1" selectLockedCells="1"/>
  <mergeCells count="5">
    <mergeCell ref="A35:B35"/>
    <mergeCell ref="A22:B22"/>
    <mergeCell ref="B8:E8"/>
    <mergeCell ref="B51:F51"/>
    <mergeCell ref="I51:L51"/>
  </mergeCells>
  <dataValidations count="3">
    <dataValidation type="whole" allowBlank="1" showErrorMessage="1" errorTitle="Väärä arvo" error="Kirjoita luku välillä 1-12" sqref="I8">
      <formula1>1</formula1>
      <formula2>12</formula2>
    </dataValidation>
    <dataValidation type="whole" allowBlank="1" showErrorMessage="1" errorTitle="Väärä arvo" error="Kirjoita luku välillä 1- 31" sqref="G8">
      <formula1>1</formula1>
      <formula2>31</formula2>
    </dataValidation>
    <dataValidation type="whole" allowBlank="1" showErrorMessage="1" errorTitle="Väärä arvo" error="Kirjoita oikea vuosi" sqref="K8">
      <formula1>2010</formula1>
      <formula2>2100</formula2>
    </dataValidation>
  </dataValidations>
  <printOptions horizont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74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5" zoomScaleNormal="85" zoomScalePageLayoutView="55" workbookViewId="0" topLeftCell="A1">
      <selection activeCell="B35" sqref="B35:AG35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28125" style="2" customWidth="1"/>
    <col min="22" max="23" width="3.8515625" style="2" customWidth="1"/>
    <col min="24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3.28125" style="86" customWidth="1"/>
    <col min="35" max="35" width="3.140625" style="86" customWidth="1"/>
    <col min="36" max="37" width="11.00390625" style="86" bestFit="1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63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274" t="b">
        <f>IF(OR(G6="x",G5="x"),FALSE,TRUE)</f>
        <v>0</v>
      </c>
      <c r="I4" s="6"/>
      <c r="J4" s="60"/>
      <c r="K4" s="60"/>
      <c r="L4" s="60"/>
      <c r="M4" s="60"/>
      <c r="N4" s="59"/>
      <c r="O4" s="397"/>
      <c r="P4" s="398"/>
      <c r="Q4" s="64"/>
      <c r="R4" s="6"/>
      <c r="S4" s="6"/>
      <c r="T4" s="6"/>
      <c r="U4" s="6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274" t="b">
        <f>IF(OR(G4="x",G6="x"),FALSE,TRUE)</f>
        <v>0</v>
      </c>
      <c r="I5" s="6"/>
      <c r="J5" s="61"/>
      <c r="K5" s="61"/>
      <c r="L5" s="59" t="s">
        <v>20</v>
      </c>
      <c r="M5" s="171" t="str">
        <f>IF(tilasto!E5=0,"",tilasto!E5)</f>
        <v>x</v>
      </c>
      <c r="N5" s="271"/>
      <c r="O5" s="275" t="b">
        <f>IF(M6="x",FALSE,TRUE)</f>
        <v>1</v>
      </c>
      <c r="P5" s="69"/>
      <c r="Q5" s="69"/>
      <c r="R5" s="402" t="s">
        <v>23</v>
      </c>
      <c r="S5" s="403"/>
      <c r="T5" s="404"/>
      <c r="U5" s="400">
        <f>IF(tilasto!$H$5=0,"",tilasto!$H$5)</f>
        <v>5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274" t="b">
        <f>IF(OR(G4="x",G5="x"),FALSE,TRUE)</f>
        <v>1</v>
      </c>
      <c r="I6" s="6"/>
      <c r="J6" s="61"/>
      <c r="K6" s="61"/>
      <c r="L6" s="59" t="s">
        <v>21</v>
      </c>
      <c r="M6" s="171">
        <f>IF(tilasto!E6=0,"",tilasto!E6)</f>
      </c>
      <c r="N6" s="271"/>
      <c r="O6" s="275" t="b">
        <f>IF(M5="x",FALSE,TRUE)</f>
        <v>0</v>
      </c>
      <c r="P6" s="69"/>
      <c r="Q6" s="69"/>
      <c r="R6" s="402" t="s">
        <v>6</v>
      </c>
      <c r="S6" s="403"/>
      <c r="T6" s="404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Grönan, Hanko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9">
        <f>IF(tilasto!$G$8=0,"",tilasto!$G$8)</f>
        <v>11</v>
      </c>
      <c r="T8" s="399"/>
      <c r="U8" s="80" t="s">
        <v>19</v>
      </c>
      <c r="V8" s="399">
        <f>IF(tilasto!$I$8=0,"",tilasto!$I$8)</f>
        <v>1</v>
      </c>
      <c r="W8" s="399"/>
      <c r="X8" s="80" t="s">
        <v>19</v>
      </c>
      <c r="Y8" s="399">
        <f>IF(tilasto!$K$8=0,"",tilasto!$K$8)</f>
        <v>2020</v>
      </c>
      <c r="Z8" s="407"/>
      <c r="AA8" s="407"/>
      <c r="AB8" s="407"/>
      <c r="AC8" s="34"/>
      <c r="AD8" s="34"/>
      <c r="AE8" s="34"/>
      <c r="AF8" s="34"/>
      <c r="AG8" s="7"/>
      <c r="AH8" s="86"/>
      <c r="AI8" s="86"/>
      <c r="AJ8" s="86"/>
      <c r="AK8" s="86"/>
    </row>
    <row r="9" spans="1:45" s="5" customFormat="1" ht="42" customHeight="1">
      <c r="A9" s="79"/>
      <c r="B9" s="351" t="str">
        <f>IF(tilasto!A9=0,"",tilasto!A9)</f>
        <v>Grönan DC 2</v>
      </c>
      <c r="C9" s="352"/>
      <c r="D9" s="352"/>
      <c r="E9" s="352"/>
      <c r="F9" s="352"/>
      <c r="G9" s="352"/>
      <c r="H9" s="352"/>
      <c r="I9" s="352"/>
      <c r="J9" s="352"/>
      <c r="K9" s="353"/>
      <c r="L9" s="353"/>
      <c r="M9" s="353"/>
      <c r="N9" s="79"/>
      <c r="O9" s="351" t="str">
        <f>IF(tilasto!A22=0,"",tilasto!A22)</f>
        <v>Kukon Tikka 3</v>
      </c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203"/>
      <c r="AH9" s="87"/>
      <c r="AI9" s="87"/>
      <c r="AJ9" s="87"/>
      <c r="AK9" s="87"/>
      <c r="AL9" s="329"/>
      <c r="AM9" s="329"/>
      <c r="AN9" s="330"/>
      <c r="AO9" s="320" t="s">
        <v>79</v>
      </c>
      <c r="AP9" s="320"/>
      <c r="AQ9" s="320"/>
      <c r="AR9" s="320" t="s">
        <v>48</v>
      </c>
      <c r="AS9" s="320"/>
    </row>
    <row r="10" spans="1:45" s="5" customFormat="1" ht="15" customHeight="1">
      <c r="A10" s="6"/>
      <c r="B10" s="7" t="s">
        <v>71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L10" s="329"/>
      <c r="AM10" s="329"/>
      <c r="AN10" s="330"/>
      <c r="AO10" s="320" t="str">
        <f>IF(tilasto!A12=0,"",tilasto!A12)</f>
        <v>Sakari Kinnunen</v>
      </c>
      <c r="AP10" s="320"/>
      <c r="AQ10" s="320"/>
      <c r="AR10" s="320" t="str">
        <f>IF(tilasto!A25=0,"",tilasto!A25)</f>
        <v>Jyri Vesalainen</v>
      </c>
      <c r="AS10" s="320"/>
    </row>
    <row r="11" spans="1:45" ht="15.7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408" t="s">
        <v>25</v>
      </c>
      <c r="N11" s="7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08" t="s">
        <v>25</v>
      </c>
      <c r="AG11" s="415"/>
      <c r="AH11" s="88"/>
      <c r="AI11" s="88"/>
      <c r="AJ11" s="88"/>
      <c r="AK11" s="88"/>
      <c r="AL11" s="331"/>
      <c r="AM11" s="331"/>
      <c r="AN11" s="332"/>
      <c r="AO11" s="320" t="str">
        <f>IF(tilasto!A13=0,"",tilasto!A13)</f>
        <v>Tobias Lindholm</v>
      </c>
      <c r="AP11" s="321"/>
      <c r="AQ11" s="321"/>
      <c r="AR11" s="320" t="str">
        <f>IF(tilasto!A26=0,"",tilasto!A26)</f>
        <v>Olli-Pekka Kallioniemi</v>
      </c>
      <c r="AS11" s="321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409"/>
      <c r="N12" s="7"/>
      <c r="O12" s="41" t="s">
        <v>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09" t="s">
        <v>25</v>
      </c>
      <c r="AG12" s="416"/>
      <c r="AL12" s="331"/>
      <c r="AM12" s="331"/>
      <c r="AN12" s="332"/>
      <c r="AO12" s="320" t="str">
        <f>IF(tilasto!A14=0,"",tilasto!A14)</f>
        <v>Tony Nyholm</v>
      </c>
      <c r="AP12" s="321"/>
      <c r="AQ12" s="321"/>
      <c r="AR12" s="320" t="str">
        <f>IF(tilasto!A27=0,"",tilasto!A27)</f>
        <v>Kari Laine</v>
      </c>
      <c r="AS12" s="321"/>
    </row>
    <row r="13" spans="2:45" ht="30" customHeight="1">
      <c r="B13" s="8">
        <v>1</v>
      </c>
      <c r="C13" s="417" t="s">
        <v>103</v>
      </c>
      <c r="D13" s="418"/>
      <c r="E13" s="418"/>
      <c r="F13" s="418"/>
      <c r="G13" s="418"/>
      <c r="H13" s="418"/>
      <c r="I13" s="418"/>
      <c r="J13" s="418"/>
      <c r="K13" s="418"/>
      <c r="L13" s="419"/>
      <c r="M13" s="32" t="s">
        <v>10</v>
      </c>
      <c r="N13" s="3">
        <v>1</v>
      </c>
      <c r="O13" s="424" t="s">
        <v>107</v>
      </c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6"/>
      <c r="AF13" s="430"/>
      <c r="AG13" s="422"/>
      <c r="AL13" s="331"/>
      <c r="AM13" s="331"/>
      <c r="AN13" s="332"/>
      <c r="AO13" s="320" t="str">
        <f>IF(tilasto!A15=0,"",tilasto!A15)</f>
        <v>Mikael Nyholm</v>
      </c>
      <c r="AP13" s="321"/>
      <c r="AQ13" s="321"/>
      <c r="AR13" s="320" t="str">
        <f>IF(tilasto!A28=0,"",tilasto!A28)</f>
        <v>Ari Heinonen</v>
      </c>
      <c r="AS13" s="321"/>
    </row>
    <row r="14" spans="2:45" ht="30" customHeight="1">
      <c r="B14" s="9">
        <v>2</v>
      </c>
      <c r="C14" s="417" t="s">
        <v>104</v>
      </c>
      <c r="D14" s="418"/>
      <c r="E14" s="418"/>
      <c r="F14" s="418"/>
      <c r="G14" s="418"/>
      <c r="H14" s="418"/>
      <c r="I14" s="418"/>
      <c r="J14" s="418"/>
      <c r="K14" s="418"/>
      <c r="L14" s="419"/>
      <c r="M14" s="32"/>
      <c r="N14" s="7">
        <v>2</v>
      </c>
      <c r="O14" s="427" t="s">
        <v>108</v>
      </c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9"/>
      <c r="AF14" s="430" t="s">
        <v>10</v>
      </c>
      <c r="AG14" s="422"/>
      <c r="AL14" s="331"/>
      <c r="AM14" s="331"/>
      <c r="AN14" s="332"/>
      <c r="AO14" s="320" t="str">
        <f>IF(tilasto!A16=0,"",tilasto!A16)</f>
        <v>Björn Huldin</v>
      </c>
      <c r="AP14" s="321"/>
      <c r="AQ14" s="321"/>
      <c r="AR14" s="320">
        <f>IF(tilasto!A29=0,"",tilasto!A29)</f>
      </c>
      <c r="AS14" s="321"/>
    </row>
    <row r="15" spans="2:45" ht="30" customHeight="1">
      <c r="B15" s="9">
        <v>3</v>
      </c>
      <c r="C15" s="420" t="s">
        <v>102</v>
      </c>
      <c r="D15" s="421"/>
      <c r="E15" s="421"/>
      <c r="F15" s="421"/>
      <c r="G15" s="421"/>
      <c r="H15" s="421"/>
      <c r="I15" s="421"/>
      <c r="J15" s="421"/>
      <c r="K15" s="421"/>
      <c r="L15" s="422"/>
      <c r="M15" s="32"/>
      <c r="N15" s="7">
        <v>3</v>
      </c>
      <c r="O15" s="427" t="s">
        <v>109</v>
      </c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9"/>
      <c r="AF15" s="430"/>
      <c r="AG15" s="422"/>
      <c r="AL15" s="331"/>
      <c r="AM15" s="331"/>
      <c r="AN15" s="332"/>
      <c r="AO15" s="320">
        <f>IF(tilasto!A17=0,"",tilasto!A17)</f>
      </c>
      <c r="AP15" s="321"/>
      <c r="AQ15" s="321"/>
      <c r="AR15" s="320">
        <f>IF(tilasto!A30=0,"",tilasto!A30)</f>
      </c>
      <c r="AS15" s="321"/>
    </row>
    <row r="16" spans="2:45" ht="30" customHeight="1">
      <c r="B16" s="9">
        <v>4</v>
      </c>
      <c r="C16" s="420" t="s">
        <v>105</v>
      </c>
      <c r="D16" s="421"/>
      <c r="E16" s="421"/>
      <c r="F16" s="421"/>
      <c r="G16" s="421"/>
      <c r="H16" s="421"/>
      <c r="I16" s="421"/>
      <c r="J16" s="421"/>
      <c r="K16" s="421"/>
      <c r="L16" s="422"/>
      <c r="M16" s="32"/>
      <c r="N16" s="7">
        <v>4</v>
      </c>
      <c r="O16" s="427" t="s">
        <v>110</v>
      </c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9"/>
      <c r="AF16" s="430"/>
      <c r="AG16" s="422"/>
      <c r="AL16" s="331"/>
      <c r="AM16" s="331"/>
      <c r="AN16" s="332"/>
      <c r="AO16" s="320">
        <f>IF(tilasto!A18=0,"",tilasto!A18)</f>
      </c>
      <c r="AP16" s="321"/>
      <c r="AQ16" s="321"/>
      <c r="AR16" s="320">
        <f>IF(tilasto!A31=0,"",tilasto!A31)</f>
      </c>
      <c r="AS16" s="321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85">
        <f>IF(AND(M6="x",R27=2),3,"")</f>
      </c>
      <c r="S17" s="7"/>
      <c r="T17" s="73">
        <f>IF(AND(M6="x",T27=2),3,"")</f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331"/>
      <c r="AM17" s="331"/>
      <c r="AN17" s="332"/>
      <c r="AO17" s="320">
        <f>IF(tilasto!A19=0,"",tilasto!A19)</f>
      </c>
      <c r="AP17" s="321"/>
      <c r="AQ17" s="321"/>
      <c r="AR17" s="320">
        <f>IF(tilasto!A32=0,"",tilasto!A32)</f>
      </c>
      <c r="AS17" s="321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S18" s="19" t="s">
        <v>8</v>
      </c>
      <c r="T18" s="19"/>
      <c r="U18" s="35"/>
      <c r="V18" s="35"/>
      <c r="W18" s="35"/>
      <c r="X18" s="35"/>
      <c r="Y18" s="35"/>
      <c r="Z18" s="35"/>
      <c r="AA18" s="19"/>
      <c r="AB18" s="369"/>
      <c r="AC18" s="369"/>
      <c r="AD18" s="369"/>
      <c r="AE18" s="370"/>
      <c r="AF18" s="370"/>
      <c r="AG18" s="370"/>
      <c r="AH18" s="44"/>
      <c r="AI18" s="44"/>
      <c r="AJ18" s="44"/>
      <c r="AL18" s="331"/>
      <c r="AM18" s="331"/>
      <c r="AN18" s="332"/>
      <c r="AO18" s="321"/>
      <c r="AP18" s="321"/>
      <c r="AQ18" s="321"/>
      <c r="AR18" s="321"/>
      <c r="AS18" s="321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59" t="str">
        <f>IF(C13=0,"",C13)</f>
        <v>Tobias Lindholm</v>
      </c>
      <c r="D19" s="359"/>
      <c r="E19" s="359"/>
      <c r="F19" s="359"/>
      <c r="G19" s="359"/>
      <c r="H19" s="359"/>
      <c r="I19" s="43" t="s">
        <v>11</v>
      </c>
      <c r="J19" s="375" t="str">
        <f>IF($M$6="x",IF(O13=0,"",O13),IF(O14=0,"",O14))</f>
        <v>Olli-Pekka Kallioniemi</v>
      </c>
      <c r="K19" s="375"/>
      <c r="L19" s="375"/>
      <c r="M19" s="375"/>
      <c r="N19" s="375"/>
      <c r="O19" s="376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1</v>
      </c>
      <c r="U19" s="30" t="s">
        <v>16</v>
      </c>
      <c r="V19" s="276">
        <f>IF(E56=501,C56,IF(AI19="l",1,""))</f>
        <v>25</v>
      </c>
      <c r="W19" s="276">
        <f>IF(E57=501,C57,IF(AI19="l",1,""))</f>
        <v>22</v>
      </c>
      <c r="X19" s="276">
        <f>IF(E58=501,C58,IF(AI19="l",1,""))</f>
      </c>
      <c r="Y19" s="276">
        <f>IF(E59=501,C59,"")</f>
        <v>29</v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  <v>25</v>
      </c>
      <c r="AE19" s="276">
        <f>IF(N59=501,L59,"")</f>
      </c>
      <c r="AF19" s="276">
        <f>IF(N60=501,L60,"")</f>
      </c>
      <c r="AG19" s="31" t="s">
        <v>17</v>
      </c>
      <c r="AH19" s="247">
        <f>H54</f>
        <v>0</v>
      </c>
      <c r="AI19" s="247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L19" s="331"/>
      <c r="AM19" s="331"/>
      <c r="AN19" s="331"/>
      <c r="AO19" s="331"/>
      <c r="AP19" s="331"/>
      <c r="AQ19" s="331"/>
      <c r="AR19" s="331"/>
      <c r="AS19" s="331"/>
    </row>
    <row r="20" spans="1:45" ht="30" customHeight="1">
      <c r="A20" s="26">
        <f>IF($M$6="x","","")</f>
      </c>
      <c r="B20" s="26" t="str">
        <f>IF($M$6="x","2 - 2","2 - 1")</f>
        <v>2 - 1</v>
      </c>
      <c r="C20" s="359" t="str">
        <f>IF(C14=0,"",C14)</f>
        <v>Tony Nyholm</v>
      </c>
      <c r="D20" s="359"/>
      <c r="E20" s="359"/>
      <c r="F20" s="359"/>
      <c r="G20" s="359"/>
      <c r="H20" s="359"/>
      <c r="I20" s="43" t="s">
        <v>11</v>
      </c>
      <c r="J20" s="375" t="str">
        <f>IF($M$6="x",IF(O14=0,"",O14),IF(O13=0,"",O13))</f>
        <v>Jyri Vesalainen</v>
      </c>
      <c r="K20" s="375"/>
      <c r="L20" s="375"/>
      <c r="M20" s="375"/>
      <c r="N20" s="375"/>
      <c r="O20" s="376"/>
      <c r="P20" s="42">
        <v>2</v>
      </c>
      <c r="Q20" s="201"/>
      <c r="R20" s="118">
        <f aca="true" t="shared" si="0" ref="R20:R26">IF(C20="","",COUNT(V20:Z20))</f>
        <v>1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  <v>26</v>
      </c>
      <c r="W20" s="276">
        <f>IF(E67=501,C67,IF(AI20="l",1,""))</f>
      </c>
      <c r="X20" s="276">
        <f>IF(E68=501,C68,IF(AI20="l",1,""))</f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</c>
      <c r="AC20" s="276">
        <f>IF(N67=501,L67,IF(AH20="l",1,""))</f>
        <v>28</v>
      </c>
      <c r="AD20" s="276">
        <f>IF(N68=501,L68,IF(AH20="l",1,""))</f>
        <v>27</v>
      </c>
      <c r="AE20" s="276">
        <f>IF(N69=501,L69,"")</f>
        <v>27</v>
      </c>
      <c r="AF20" s="276">
        <f>IF(N70=501,L70,"")</f>
      </c>
      <c r="AG20" s="31" t="s">
        <v>17</v>
      </c>
      <c r="AH20" s="247">
        <f>H64</f>
        <v>0</v>
      </c>
      <c r="AI20" s="247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L20" s="331"/>
      <c r="AM20" s="331"/>
      <c r="AN20" s="331"/>
      <c r="AO20" s="331"/>
      <c r="AP20" s="331"/>
      <c r="AQ20" s="331"/>
      <c r="AR20" s="331"/>
      <c r="AS20" s="331"/>
    </row>
    <row r="21" spans="1:37" ht="30" customHeight="1">
      <c r="A21" s="26" t="str">
        <f>IF($M$6="x","x","x")</f>
        <v>x</v>
      </c>
      <c r="B21" s="26" t="str">
        <f>IF($M$6="x","3 - 3","3 - 4")</f>
        <v>3 - 4</v>
      </c>
      <c r="C21" s="359" t="str">
        <f>IF(C15=0,"",C15)</f>
        <v>Sakari Kinnunen</v>
      </c>
      <c r="D21" s="359"/>
      <c r="E21" s="359"/>
      <c r="F21" s="359"/>
      <c r="G21" s="359"/>
      <c r="H21" s="359"/>
      <c r="I21" s="43" t="s">
        <v>11</v>
      </c>
      <c r="J21" s="375" t="str">
        <f>IF($M$6="x",IF(O15=0,"",O15),IF(O16=0,"",O16))</f>
        <v>Ari Heinonen</v>
      </c>
      <c r="K21" s="375"/>
      <c r="L21" s="375"/>
      <c r="M21" s="375"/>
      <c r="N21" s="375"/>
      <c r="O21" s="376"/>
      <c r="P21" s="42">
        <v>3</v>
      </c>
      <c r="Q21" s="201"/>
      <c r="R21" s="118">
        <f t="shared" si="0"/>
        <v>3</v>
      </c>
      <c r="S21" s="119" t="s">
        <v>11</v>
      </c>
      <c r="T21" s="118">
        <f>IF(J21&lt;&gt;"",COUNT(AB21:AF21),"")</f>
        <v>0</v>
      </c>
      <c r="U21" s="30" t="s">
        <v>16</v>
      </c>
      <c r="V21" s="276">
        <f>IF(E76=501,C76,IF(AI21="l",1,""))</f>
        <v>23</v>
      </c>
      <c r="W21" s="276">
        <f>IF(E77=501,C77,IF(AI21="l",1,""))</f>
        <v>23</v>
      </c>
      <c r="X21" s="276">
        <f>IF(E78=501,C78,IF(AI21="l",1,""))</f>
        <v>24</v>
      </c>
      <c r="Y21" s="276">
        <f>IF(E79=501,C79,"")</f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</c>
      <c r="AD21" s="276">
        <f>IF(N78=501,L78,IF(AH21="l",1,""))</f>
      </c>
      <c r="AE21" s="276">
        <f>IF(N79=501,L79,"")</f>
      </c>
      <c r="AF21" s="276">
        <f>IF(N80=501,L80,"")</f>
      </c>
      <c r="AG21" s="31" t="s">
        <v>17</v>
      </c>
      <c r="AH21" s="247">
        <f>H74</f>
        <v>0</v>
      </c>
      <c r="AI21" s="247">
        <f>I74</f>
        <v>0</v>
      </c>
      <c r="AJ21" s="85" t="str">
        <f t="shared" si="2"/>
        <v>Ok</v>
      </c>
      <c r="AK21" s="86" t="str">
        <f t="shared" si="3"/>
        <v>-</v>
      </c>
    </row>
    <row r="22" spans="1:37" ht="30" customHeight="1">
      <c r="A22" s="26">
        <f>IF($M$6="x","","")</f>
      </c>
      <c r="B22" s="26" t="str">
        <f>IF($M$6="x","","4 - 3")</f>
        <v>4 - 3</v>
      </c>
      <c r="C22" s="359" t="str">
        <f>IF(C16=0,"",C16)</f>
        <v>Mikael Nyholm</v>
      </c>
      <c r="D22" s="359"/>
      <c r="E22" s="359"/>
      <c r="F22" s="359"/>
      <c r="G22" s="359"/>
      <c r="H22" s="359"/>
      <c r="I22" s="43" t="s">
        <v>11</v>
      </c>
      <c r="J22" s="375" t="str">
        <f>IF($M$6="x",IF(O16=0,"",O16),IF(O15=0,"",O15))</f>
        <v>Kari Laine</v>
      </c>
      <c r="K22" s="375"/>
      <c r="L22" s="375"/>
      <c r="M22" s="375"/>
      <c r="N22" s="375"/>
      <c r="O22" s="376"/>
      <c r="P22" s="42">
        <v>4</v>
      </c>
      <c r="Q22" s="201"/>
      <c r="R22" s="118">
        <f t="shared" si="0"/>
        <v>2</v>
      </c>
      <c r="S22" s="119" t="s">
        <v>11</v>
      </c>
      <c r="T22" s="118">
        <f t="shared" si="1"/>
        <v>3</v>
      </c>
      <c r="U22" s="30" t="s">
        <v>16</v>
      </c>
      <c r="V22" s="276">
        <f>IF(E86=501,C86,IF(AI22="l",1,""))</f>
        <v>41</v>
      </c>
      <c r="W22" s="276">
        <f>IF(E87=501,C87,IF(AI22="l",1,""))</f>
      </c>
      <c r="X22" s="276">
        <f>IF(E88=501,C88,IF(AI22="l",1,""))</f>
      </c>
      <c r="Y22" s="276">
        <f>IF(E89=501,C89,"")</f>
        <v>25</v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  <v>37</v>
      </c>
      <c r="AD22" s="276">
        <f>IF(N88=501,L88,IF(AH22="l",1,""))</f>
        <v>32</v>
      </c>
      <c r="AE22" s="276">
        <f>IF(N89=501,L89,"")</f>
      </c>
      <c r="AF22" s="276">
        <f>IF(N90=501,L90,"")</f>
        <v>48</v>
      </c>
      <c r="AG22" s="31" t="s">
        <v>17</v>
      </c>
      <c r="AH22" s="247">
        <f>H84</f>
        <v>0</v>
      </c>
      <c r="AI22" s="247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59" t="str">
        <f>IF(C13=0,"",C13)</f>
        <v>Tobias Lindholm</v>
      </c>
      <c r="D23" s="359"/>
      <c r="E23" s="359"/>
      <c r="F23" s="359"/>
      <c r="G23" s="359"/>
      <c r="H23" s="359"/>
      <c r="I23" s="43" t="s">
        <v>11</v>
      </c>
      <c r="J23" s="375" t="str">
        <f>IF($M$6="x",IF(O14=0,"",O14),IF(O13=0,"",O13))</f>
        <v>Jyri Vesalainen</v>
      </c>
      <c r="K23" s="375"/>
      <c r="L23" s="375"/>
      <c r="M23" s="375"/>
      <c r="N23" s="375"/>
      <c r="O23" s="376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2</v>
      </c>
      <c r="U23" s="30" t="s">
        <v>16</v>
      </c>
      <c r="V23" s="276">
        <f>IF(E96=501,C96,IF(AI23="l",1,""))</f>
        <v>26</v>
      </c>
      <c r="W23" s="276">
        <f>IF(E97=501,C97,IF(AI23="l",1,""))</f>
      </c>
      <c r="X23" s="276">
        <f>IF(E98=501,C98,IF(AI23="l",1,""))</f>
        <v>29</v>
      </c>
      <c r="Y23" s="276">
        <f>IF(E99=501,C99,"")</f>
      </c>
      <c r="Z23" s="276">
        <f>IF(E100=501,C100,"")</f>
        <v>24</v>
      </c>
      <c r="AA23" s="16" t="s">
        <v>11</v>
      </c>
      <c r="AB23" s="276">
        <f>IF(N96=501,L96,IF(AH23="l",1,""))</f>
      </c>
      <c r="AC23" s="276">
        <f>IF(N97=501,L97,IF(AH23="l",1,""))</f>
        <v>23</v>
      </c>
      <c r="AD23" s="276">
        <f>IF(N98=501,L98,IF(AH23="l",1,""))</f>
      </c>
      <c r="AE23" s="276">
        <f>IF(N99=501,L99,"")</f>
        <v>30</v>
      </c>
      <c r="AF23" s="276">
        <f>IF(N100=501,L100,"")</f>
      </c>
      <c r="AG23" s="31" t="s">
        <v>17</v>
      </c>
      <c r="AH23" s="247">
        <f>H94</f>
        <v>0</v>
      </c>
      <c r="AI23" s="247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59" t="str">
        <f>IF(C14=0,"",C14)</f>
        <v>Tony Nyholm</v>
      </c>
      <c r="D24" s="359"/>
      <c r="E24" s="359"/>
      <c r="F24" s="359"/>
      <c r="G24" s="359"/>
      <c r="H24" s="359"/>
      <c r="I24" s="43" t="s">
        <v>11</v>
      </c>
      <c r="J24" s="375" t="str">
        <f>IF($M$6="x",IF(O15=0,"",O15),IF(O14=0,"",O14))</f>
        <v>Olli-Pekka Kallioniemi</v>
      </c>
      <c r="K24" s="375"/>
      <c r="L24" s="375"/>
      <c r="M24" s="375"/>
      <c r="N24" s="375"/>
      <c r="O24" s="376"/>
      <c r="P24" s="42">
        <v>6</v>
      </c>
      <c r="Q24" s="201"/>
      <c r="R24" s="118">
        <f t="shared" si="0"/>
        <v>1</v>
      </c>
      <c r="S24" s="119" t="s">
        <v>11</v>
      </c>
      <c r="T24" s="118">
        <f t="shared" si="1"/>
        <v>3</v>
      </c>
      <c r="U24" s="30" t="s">
        <v>16</v>
      </c>
      <c r="V24" s="276">
        <f>IF(E106=501,C106,IF(AI24="l",1,""))</f>
      </c>
      <c r="W24" s="276">
        <f>IF(E107=501,C107,IF(AI24="l",1,""))</f>
        <v>32</v>
      </c>
      <c r="X24" s="276">
        <f>IF(E108=501,C108,IF(AI24="l",1,""))</f>
      </c>
      <c r="Y24" s="276">
        <f>IF(E109=501,C109,"")</f>
      </c>
      <c r="Z24" s="276">
        <f>IF(E110=501,C110,"")</f>
      </c>
      <c r="AA24" s="16" t="s">
        <v>11</v>
      </c>
      <c r="AB24" s="276">
        <f>IF(N106=501,L106,IF(AH24="l",1,""))</f>
        <v>25</v>
      </c>
      <c r="AC24" s="276">
        <f>IF(N107=501,L107,IF(AH24="l",1,""))</f>
      </c>
      <c r="AD24" s="276">
        <f>IF(N108=501,L108,IF(AH24="l",1,""))</f>
        <v>31</v>
      </c>
      <c r="AE24" s="276">
        <f>IF(N109=501,L109,"")</f>
        <v>26</v>
      </c>
      <c r="AF24" s="276">
        <f>IF(N110=501,L110,"")</f>
      </c>
      <c r="AG24" s="31" t="s">
        <v>17</v>
      </c>
      <c r="AH24" s="247">
        <f>H104</f>
        <v>0</v>
      </c>
      <c r="AI24" s="247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59" t="str">
        <f>IF(C15=0,"",C15)</f>
        <v>Sakari Kinnunen</v>
      </c>
      <c r="D25" s="359"/>
      <c r="E25" s="359"/>
      <c r="F25" s="359"/>
      <c r="G25" s="359"/>
      <c r="H25" s="359"/>
      <c r="I25" s="43" t="s">
        <v>11</v>
      </c>
      <c r="J25" s="375" t="str">
        <f>IF($M$6="x",IF(O13=0,"",O13),IF(O15=0,"",O15))</f>
        <v>Kari Laine</v>
      </c>
      <c r="K25" s="375"/>
      <c r="L25" s="375"/>
      <c r="M25" s="375"/>
      <c r="N25" s="375"/>
      <c r="O25" s="376"/>
      <c r="P25" s="42">
        <v>7</v>
      </c>
      <c r="Q25" s="201"/>
      <c r="R25" s="118">
        <f t="shared" si="0"/>
        <v>3</v>
      </c>
      <c r="S25" s="119" t="s">
        <v>11</v>
      </c>
      <c r="T25" s="118">
        <f t="shared" si="1"/>
        <v>1</v>
      </c>
      <c r="U25" s="30" t="s">
        <v>16</v>
      </c>
      <c r="V25" s="276">
        <f>IF(E116=501,C116,IF(AI25="l",1,""))</f>
        <v>15</v>
      </c>
      <c r="W25" s="276">
        <f>IF(E117=501,C117,IF(AI25="l",1,""))</f>
      </c>
      <c r="X25" s="276">
        <f>IF(E118=501,C118,IF(AI25="l",1,""))</f>
        <v>28</v>
      </c>
      <c r="Y25" s="276">
        <f>IF(E119=501,C119,"")</f>
        <v>31</v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  <v>25</v>
      </c>
      <c r="AD25" s="276">
        <f>IF(N118=501,L118,IF(AH25="l",1,""))</f>
      </c>
      <c r="AE25" s="276">
        <f>IF(N119=501,L119,"")</f>
      </c>
      <c r="AF25" s="276">
        <f>IF(N120=501,L120,"")</f>
      </c>
      <c r="AG25" s="31" t="s">
        <v>17</v>
      </c>
      <c r="AH25" s="247">
        <f>H114</f>
        <v>0</v>
      </c>
      <c r="AI25" s="247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59" t="str">
        <f>IF(C16=0,"",C16)</f>
        <v>Mikael Nyholm</v>
      </c>
      <c r="D26" s="359"/>
      <c r="E26" s="359"/>
      <c r="F26" s="359"/>
      <c r="G26" s="359"/>
      <c r="H26" s="359"/>
      <c r="I26" s="43" t="s">
        <v>11</v>
      </c>
      <c r="J26" s="375" t="str">
        <f>IF(O16=0,"",O16)</f>
        <v>Ari Heinonen</v>
      </c>
      <c r="K26" s="375"/>
      <c r="L26" s="375"/>
      <c r="M26" s="375"/>
      <c r="N26" s="375"/>
      <c r="O26" s="376"/>
      <c r="P26" s="42">
        <v>8</v>
      </c>
      <c r="Q26" s="201"/>
      <c r="R26" s="118">
        <f t="shared" si="0"/>
        <v>2</v>
      </c>
      <c r="S26" s="119" t="s">
        <v>11</v>
      </c>
      <c r="T26" s="118">
        <f t="shared" si="1"/>
        <v>3</v>
      </c>
      <c r="U26" s="30" t="s">
        <v>16</v>
      </c>
      <c r="V26" s="276">
        <f>IF(E126=501,C126,IF(AI26="l",1,""))</f>
      </c>
      <c r="W26" s="276">
        <f>IF(E127=501,C127,IF(AI26="l",1,""))</f>
        <v>44</v>
      </c>
      <c r="X26" s="276">
        <f>IF(E128=501,C128,IF(AI26="l",1,""))</f>
        <v>28</v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  <v>30</v>
      </c>
      <c r="AC26" s="276">
        <f>IF(N127=501,L127,IF(AH26="l",1,""))</f>
      </c>
      <c r="AD26" s="276">
        <f>IF(N128=501,L128,IF(AH26="l",1,""))</f>
      </c>
      <c r="AE26" s="276">
        <f>IF(N129=501,L129,"")</f>
        <v>30</v>
      </c>
      <c r="AF26" s="276">
        <f>IF(N130=501,L130,"")</f>
        <v>26</v>
      </c>
      <c r="AG26" s="31" t="s">
        <v>17</v>
      </c>
      <c r="AH26" s="247">
        <f>H124</f>
        <v>0</v>
      </c>
      <c r="AI26" s="247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81" t="str">
        <f>B9</f>
        <v>Grönan DC 2</v>
      </c>
      <c r="D27" s="423"/>
      <c r="E27" s="423"/>
      <c r="F27" s="423"/>
      <c r="G27" s="423"/>
      <c r="H27" s="423"/>
      <c r="I27" s="258" t="s">
        <v>11</v>
      </c>
      <c r="J27" s="381" t="str">
        <f>O9</f>
        <v>Kukon Tikka 3</v>
      </c>
      <c r="K27" s="381"/>
      <c r="L27" s="381"/>
      <c r="M27" s="381"/>
      <c r="N27" s="381"/>
      <c r="O27" s="382"/>
      <c r="P27" s="42" t="s">
        <v>69</v>
      </c>
      <c r="Q27" s="202"/>
      <c r="R27" s="118">
        <f>IF(C27=0,"",COUNT(V27:Z27))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7">
        <f>H137</f>
        <v>0</v>
      </c>
      <c r="AI27" s="254">
        <f>I137</f>
        <v>0</v>
      </c>
      <c r="AJ27" s="85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377" t="s">
        <v>9</v>
      </c>
      <c r="P28" s="378"/>
      <c r="Q28" s="38"/>
      <c r="R28" s="273">
        <f>SUMIF(R19:R27,"&gt;0",R19:R27)</f>
        <v>18</v>
      </c>
      <c r="S28" s="20" t="s">
        <v>11</v>
      </c>
      <c r="T28" s="273">
        <f>SUMIF(T19:T27,"&gt;0",T19:T27)</f>
        <v>16</v>
      </c>
      <c r="U28" s="36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246"/>
      <c r="AI28" s="246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71" t="str">
        <f>IF(B9&gt;="0",B9,"")</f>
        <v>Grönan DC 2</v>
      </c>
      <c r="C31" s="372"/>
      <c r="D31" s="372"/>
      <c r="E31" s="372"/>
      <c r="F31" s="372"/>
      <c r="G31" s="372"/>
      <c r="H31" s="372"/>
      <c r="I31" s="373"/>
      <c r="J31" s="29" t="s">
        <v>11</v>
      </c>
      <c r="K31" s="371" t="str">
        <f>IF(O9&gt;="0",O9,"")</f>
        <v>Kukon Tikka 3</v>
      </c>
      <c r="L31" s="372"/>
      <c r="M31" s="372"/>
      <c r="N31" s="372"/>
      <c r="O31" s="372"/>
      <c r="P31" s="372"/>
      <c r="Q31" s="372"/>
      <c r="R31" s="373"/>
      <c r="S31" s="374"/>
      <c r="T31" s="374"/>
      <c r="U31" s="374"/>
      <c r="V31" s="15"/>
      <c r="W31" s="396">
        <f>IF(R28=0,0,COUNTIF(R17:R27,"3"))</f>
        <v>4</v>
      </c>
      <c r="X31" s="396"/>
      <c r="Y31" s="396"/>
      <c r="Z31" s="396"/>
      <c r="AA31" s="82" t="s">
        <v>11</v>
      </c>
      <c r="AB31" s="396">
        <f>IF(T28=0,0,COUNTIF(T17:T27,"3"))</f>
        <v>4</v>
      </c>
      <c r="AC31" s="396"/>
      <c r="AD31" s="396"/>
      <c r="AE31" s="396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61" t="s">
        <v>115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</row>
    <row r="35" spans="1:37" s="6" customFormat="1" ht="31.5" customHeight="1">
      <c r="A35" s="7"/>
      <c r="B35" s="361" t="s">
        <v>118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85"/>
      <c r="AI35" s="85"/>
      <c r="AJ35" s="85"/>
      <c r="AK35" s="85"/>
    </row>
    <row r="36" spans="2:37" s="6" customFormat="1" ht="31.5" customHeight="1">
      <c r="B36" s="379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O37" s="28"/>
      <c r="P37" s="28"/>
      <c r="Q37" s="28"/>
      <c r="R37" s="28"/>
      <c r="S37" s="28"/>
      <c r="T37" s="28"/>
      <c r="U37" s="39"/>
      <c r="V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O38" s="117"/>
      <c r="P38" s="240"/>
      <c r="Q38" s="282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</row>
    <row r="39" spans="2:33" ht="13.5" customHeight="1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O39" s="267"/>
      <c r="P39" s="240"/>
      <c r="Q39" s="282">
        <f>IF(V51+AB51+AK28&lt;&gt;0,"Ottelupöytäkirja on keskeneräinen !!!","")</f>
      </c>
      <c r="R39" s="267"/>
      <c r="S39" s="267"/>
      <c r="T39" s="268"/>
      <c r="U39" s="267"/>
      <c r="V39" s="117"/>
      <c r="W39" s="267"/>
      <c r="X39" s="117"/>
      <c r="Y39" s="267"/>
      <c r="Z39" s="117"/>
      <c r="AA39" s="117"/>
      <c r="AB39" s="267"/>
      <c r="AC39" s="117"/>
      <c r="AD39" s="117"/>
      <c r="AE39" s="117"/>
      <c r="AF39" s="117"/>
      <c r="AG39" s="117"/>
    </row>
    <row r="40" spans="2:33" ht="15">
      <c r="B40" s="386" t="str">
        <f>IF(M13="x",C13,"")&amp;IF(M14="x",C14,"")&amp;IF(M15="x",C15,"")&amp;IF(M16="x",C16,"")</f>
        <v>Tobias Lindholm</v>
      </c>
      <c r="C40" s="386"/>
      <c r="D40" s="386"/>
      <c r="E40" s="386"/>
      <c r="F40" s="386"/>
      <c r="G40" s="386"/>
      <c r="H40" s="386"/>
      <c r="I40" s="386"/>
      <c r="J40" s="386"/>
      <c r="K40" s="387"/>
      <c r="L40" s="387"/>
      <c r="M40" s="387"/>
      <c r="O40" s="390" t="str">
        <f>IF(AF13="x",O13,"")&amp;IF(AF14="x",O14,"")&amp;IF(AF15="x",O15,"")&amp;IF(AF16="x",O16,"")</f>
        <v>Olli-Pekka Kallioniemi</v>
      </c>
      <c r="P40" s="390"/>
      <c r="Q40" s="390"/>
      <c r="R40" s="390"/>
      <c r="S40" s="390"/>
      <c r="T40" s="390"/>
      <c r="U40" s="390"/>
      <c r="V40" s="390"/>
      <c r="W40" s="390"/>
      <c r="X40" s="391"/>
      <c r="Y40" s="391"/>
      <c r="Z40" s="391"/>
      <c r="AA40" s="392"/>
      <c r="AB40" s="392"/>
      <c r="AC40" s="392"/>
      <c r="AD40" s="392"/>
      <c r="AE40" s="392"/>
      <c r="AF40" s="392"/>
      <c r="AG40" s="392"/>
    </row>
    <row r="41" spans="2:33" ht="42" customHeight="1">
      <c r="B41" s="388"/>
      <c r="C41" s="388"/>
      <c r="D41" s="388"/>
      <c r="E41" s="388"/>
      <c r="F41" s="388"/>
      <c r="G41" s="388"/>
      <c r="H41" s="388"/>
      <c r="I41" s="388"/>
      <c r="J41" s="388"/>
      <c r="K41" s="389"/>
      <c r="L41" s="389"/>
      <c r="M41" s="389"/>
      <c r="N41" s="7"/>
      <c r="O41" s="393"/>
      <c r="P41" s="393"/>
      <c r="Q41" s="393"/>
      <c r="R41" s="393"/>
      <c r="S41" s="393"/>
      <c r="T41" s="393"/>
      <c r="U41" s="393"/>
      <c r="V41" s="393"/>
      <c r="W41" s="393"/>
      <c r="X41" s="394"/>
      <c r="Y41" s="394"/>
      <c r="Z41" s="394"/>
      <c r="AA41" s="395"/>
      <c r="AB41" s="395"/>
      <c r="AC41" s="395"/>
      <c r="AD41" s="395"/>
      <c r="AE41" s="395"/>
      <c r="AF41" s="395"/>
      <c r="AG41" s="395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92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29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8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</row>
    <row r="52" spans="1:20" s="86" customFormat="1" ht="15.75" thickBot="1">
      <c r="A52" s="85"/>
      <c r="H52" s="85"/>
      <c r="I52" s="93"/>
      <c r="J52" s="93"/>
      <c r="K52" s="93"/>
      <c r="L52" s="93"/>
      <c r="M52" s="93"/>
      <c r="T52" s="44"/>
    </row>
    <row r="53" spans="1:37" s="33" customFormat="1" ht="27.75" customHeight="1">
      <c r="A53" s="206"/>
      <c r="B53" s="207" t="s">
        <v>0</v>
      </c>
      <c r="C53" s="360" t="str">
        <f>C19</f>
        <v>Tobias Lindholm</v>
      </c>
      <c r="D53" s="360"/>
      <c r="E53" s="360"/>
      <c r="F53" s="360"/>
      <c r="G53" s="360"/>
      <c r="H53" s="236">
        <f>IF(OR(H54="L",C53=0),0,1)</f>
        <v>1</v>
      </c>
      <c r="I53" s="217"/>
      <c r="J53" s="208"/>
      <c r="K53" s="209" t="s">
        <v>0</v>
      </c>
      <c r="L53" s="360" t="str">
        <f>J19</f>
        <v>Olli-Pekka Kallioniemi</v>
      </c>
      <c r="M53" s="360"/>
      <c r="N53" s="360"/>
      <c r="O53" s="360"/>
      <c r="P53" s="360"/>
      <c r="Q53" s="360"/>
      <c r="R53" s="360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D53" s="86"/>
      <c r="AH53" s="86"/>
      <c r="AI53" s="86"/>
      <c r="AJ53" s="86"/>
      <c r="AK53" s="86"/>
    </row>
    <row r="54" spans="2:37" s="33" customFormat="1" ht="15">
      <c r="B54" s="44"/>
      <c r="C54" s="44"/>
      <c r="D54" s="44"/>
      <c r="E54" s="44"/>
      <c r="F54" s="44"/>
      <c r="G54" s="44"/>
      <c r="H54" s="250"/>
      <c r="I54" s="384"/>
      <c r="J54" s="38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D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7" t="s">
        <v>29</v>
      </c>
      <c r="P55" s="358"/>
      <c r="Q55" s="102"/>
      <c r="R55" s="100" t="s">
        <v>30</v>
      </c>
      <c r="S55" s="211"/>
      <c r="T55" s="44"/>
      <c r="U55" s="85"/>
      <c r="V55" s="85"/>
      <c r="W55" s="86"/>
      <c r="X55" s="86"/>
      <c r="Y55" s="86"/>
      <c r="Z55" s="86"/>
      <c r="AA55" s="86"/>
      <c r="AB55" s="86"/>
      <c r="AC55" s="86"/>
      <c r="AD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25</v>
      </c>
      <c r="D56" s="109"/>
      <c r="E56" s="108">
        <f>IF(C56=0," ",IF(C56=0,0,501-D56))</f>
        <v>501</v>
      </c>
      <c r="F56" s="103">
        <v>1</v>
      </c>
      <c r="G56" s="103"/>
      <c r="H56" s="106">
        <f>IF(AND(H53=1,S53=0),1,IF(COUNT(C56:C60)&gt;2,IF(COUNT(D56:D60)=3,0,1),0))</f>
        <v>1</v>
      </c>
      <c r="I56" s="272"/>
      <c r="J56" s="105"/>
      <c r="K56" s="221">
        <v>1</v>
      </c>
      <c r="L56" s="103">
        <v>24</v>
      </c>
      <c r="M56" s="109">
        <v>72</v>
      </c>
      <c r="N56" s="108">
        <f>IF(L56=0," ",IF(L56=0,0,501-M56))</f>
        <v>429</v>
      </c>
      <c r="O56" s="354">
        <v>1</v>
      </c>
      <c r="P56" s="355"/>
      <c r="Q56" s="356"/>
      <c r="R56" s="103"/>
      <c r="S56" s="211"/>
      <c r="T56" s="44"/>
      <c r="U56" s="106">
        <f>IF(AND(S53=1,H53=0),1,IF(COUNT(L56:L60)&gt;2,IF(COUNT(M56:M60)=3,0,1),0))</f>
        <v>0</v>
      </c>
      <c r="V56" s="303" t="str">
        <f>IF(AND(E56=501,N56=501),"TARKISTA JÄI-SARAKE"," ")</f>
        <v> </v>
      </c>
      <c r="W56" s="305"/>
      <c r="X56" s="305"/>
      <c r="Y56" s="305"/>
      <c r="Z56" s="305"/>
      <c r="AA56" s="305"/>
      <c r="AB56" s="304">
        <f>IF(AND(C56=0,L56&gt;0),"toinen TIKAT-sarake tyhjä !",IF(AND(C56&gt;0,L56=0),"toinen TIKAT-sarake tyhjä !",""))</f>
      </c>
      <c r="AC56" s="305"/>
      <c r="AD56" s="305"/>
      <c r="AE56" s="305"/>
      <c r="AF56" s="305"/>
      <c r="AG56" s="305"/>
      <c r="AH56" s="305"/>
      <c r="AI56" s="305"/>
      <c r="AJ56" s="305"/>
      <c r="AK56" s="86"/>
    </row>
    <row r="57" spans="1:37" s="33" customFormat="1" ht="31.5" customHeight="1">
      <c r="A57" s="367" t="s">
        <v>31</v>
      </c>
      <c r="B57" s="221">
        <v>2</v>
      </c>
      <c r="C57" s="103">
        <v>22</v>
      </c>
      <c r="D57" s="109"/>
      <c r="E57" s="108">
        <f>IF(C57=0," ",IF(C57=0,0,501-D57))</f>
        <v>501</v>
      </c>
      <c r="F57" s="103">
        <v>1</v>
      </c>
      <c r="G57" s="103"/>
      <c r="H57" s="108"/>
      <c r="I57" s="272"/>
      <c r="J57" s="105"/>
      <c r="K57" s="221">
        <v>2</v>
      </c>
      <c r="L57" s="103">
        <v>24</v>
      </c>
      <c r="M57" s="109">
        <v>145</v>
      </c>
      <c r="N57" s="108">
        <f>IF(L57=0," ",IF(L57=0,0,501-M57))</f>
        <v>356</v>
      </c>
      <c r="O57" s="354"/>
      <c r="P57" s="355"/>
      <c r="Q57" s="356"/>
      <c r="R57" s="103"/>
      <c r="S57" s="211"/>
      <c r="T57" s="44"/>
      <c r="U57" s="85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D57" s="86"/>
      <c r="AH57" s="86"/>
      <c r="AI57" s="86"/>
      <c r="AJ57" s="86"/>
      <c r="AK57" s="86"/>
    </row>
    <row r="58" spans="1:37" s="33" customFormat="1" ht="31.5" customHeight="1">
      <c r="A58" s="368"/>
      <c r="B58" s="221">
        <v>3</v>
      </c>
      <c r="C58" s="103">
        <v>27</v>
      </c>
      <c r="D58" s="109">
        <v>20</v>
      </c>
      <c r="E58" s="108">
        <f>IF(C58=0," ",IF(C58=0,0,501-D58))</f>
        <v>481</v>
      </c>
      <c r="F58" s="103"/>
      <c r="G58" s="103"/>
      <c r="H58" s="108"/>
      <c r="I58" s="272"/>
      <c r="J58" s="105"/>
      <c r="K58" s="221">
        <v>3</v>
      </c>
      <c r="L58" s="103">
        <v>25</v>
      </c>
      <c r="M58" s="109"/>
      <c r="N58" s="108">
        <f>IF(L58=0," ",IF(L58=0,0,501-M58))</f>
        <v>501</v>
      </c>
      <c r="O58" s="354">
        <v>1</v>
      </c>
      <c r="P58" s="355"/>
      <c r="Q58" s="356"/>
      <c r="R58" s="103"/>
      <c r="S58" s="211"/>
      <c r="T58" s="44"/>
      <c r="U58" s="85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D58" s="86"/>
      <c r="AH58" s="86"/>
      <c r="AI58" s="86"/>
      <c r="AJ58" s="86"/>
      <c r="AK58" s="86"/>
    </row>
    <row r="59" spans="1:37" s="33" customFormat="1" ht="31.5" customHeight="1">
      <c r="A59" s="368"/>
      <c r="B59" s="221">
        <v>4</v>
      </c>
      <c r="C59" s="103">
        <v>29</v>
      </c>
      <c r="D59" s="109"/>
      <c r="E59" s="108">
        <f>IF(C59=0," ",IF(C59=0,0,501-D59))</f>
        <v>501</v>
      </c>
      <c r="F59" s="103"/>
      <c r="G59" s="103"/>
      <c r="H59" s="108"/>
      <c r="I59" s="272"/>
      <c r="J59" s="105"/>
      <c r="K59" s="221">
        <v>4</v>
      </c>
      <c r="L59" s="103">
        <v>30</v>
      </c>
      <c r="M59" s="109">
        <v>120</v>
      </c>
      <c r="N59" s="108">
        <f>IF(L59=0," ",IF(L59=0,0,501-M59))</f>
        <v>381</v>
      </c>
      <c r="O59" s="354"/>
      <c r="P59" s="355"/>
      <c r="Q59" s="356"/>
      <c r="R59" s="103"/>
      <c r="S59" s="211"/>
      <c r="T59" s="44"/>
      <c r="U59" s="85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D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9"/>
      <c r="E60" s="108" t="str">
        <f>IF(C60=0," ",IF(C60=0,0,501-D60))</f>
        <v> </v>
      </c>
      <c r="F60" s="103"/>
      <c r="G60" s="103"/>
      <c r="H60" s="108"/>
      <c r="I60" s="272"/>
      <c r="J60" s="105"/>
      <c r="K60" s="221">
        <v>5</v>
      </c>
      <c r="L60" s="103"/>
      <c r="M60" s="109"/>
      <c r="N60" s="108" t="str">
        <f>IF(L60=0," ",IF(L60=0,0,501-M60))</f>
        <v> </v>
      </c>
      <c r="O60" s="354"/>
      <c r="P60" s="355"/>
      <c r="Q60" s="356"/>
      <c r="R60" s="103"/>
      <c r="S60" s="211"/>
      <c r="T60" s="44"/>
      <c r="U60" s="85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D60" s="86"/>
      <c r="AH60" s="86"/>
      <c r="AI60" s="86"/>
      <c r="AJ60" s="86"/>
      <c r="AK60" s="86"/>
    </row>
    <row r="61" spans="1:37" s="33" customFormat="1" ht="23.25" customHeight="1" thickBot="1">
      <c r="A61" s="228" t="s">
        <v>31</v>
      </c>
      <c r="B61" s="214"/>
      <c r="C61" s="231">
        <f>COUNTIF(C56:C60,"&gt;0")</f>
        <v>4</v>
      </c>
      <c r="D61" s="231">
        <f>COUNTIF(D56:D60,"&gt;0")</f>
        <v>1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4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D61" s="86"/>
      <c r="AH61" s="86"/>
      <c r="AI61" s="86"/>
      <c r="AJ61" s="86"/>
      <c r="AK61" s="86"/>
    </row>
    <row r="62" spans="1:28" s="86" customFormat="1" ht="36.75" customHeight="1" thickBot="1">
      <c r="A62" s="85"/>
      <c r="H62" s="33"/>
      <c r="I62" s="93"/>
      <c r="J62" s="93"/>
      <c r="K62" s="93"/>
      <c r="L62" s="93"/>
      <c r="M62" s="93"/>
      <c r="T62" s="44"/>
      <c r="V62" s="305"/>
      <c r="AB62" s="305"/>
    </row>
    <row r="63" spans="1:37" s="33" customFormat="1" ht="27.75" customHeight="1">
      <c r="A63" s="206"/>
      <c r="B63" s="207" t="s">
        <v>0</v>
      </c>
      <c r="C63" s="360" t="str">
        <f>C20</f>
        <v>Tony Nyholm</v>
      </c>
      <c r="D63" s="360"/>
      <c r="E63" s="360"/>
      <c r="F63" s="360"/>
      <c r="G63" s="360"/>
      <c r="H63" s="236">
        <f>IF(OR(H64="L",C63=0),0,1)</f>
        <v>1</v>
      </c>
      <c r="I63" s="217"/>
      <c r="J63" s="208"/>
      <c r="K63" s="209" t="s">
        <v>0</v>
      </c>
      <c r="L63" s="360" t="str">
        <f>J20</f>
        <v>Jyri Vesalainen</v>
      </c>
      <c r="M63" s="360"/>
      <c r="N63" s="360"/>
      <c r="O63" s="360"/>
      <c r="P63" s="360"/>
      <c r="Q63" s="383"/>
      <c r="R63" s="383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C63" s="86"/>
      <c r="AD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84"/>
      <c r="J64" s="38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D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7" t="s">
        <v>29</v>
      </c>
      <c r="P65" s="358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D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26</v>
      </c>
      <c r="D66" s="109"/>
      <c r="E66" s="108">
        <f>IF(C66=0,"",IF(C66=0,0,501-D66))</f>
        <v>501</v>
      </c>
      <c r="F66" s="103">
        <v>1</v>
      </c>
      <c r="G66" s="103"/>
      <c r="H66" s="106">
        <f>IF(AND(H63=1,S63=0),1,IF(COUNT(C66:C70)&gt;2,IF(COUNT(D66:D70)=3,0,1),0))</f>
        <v>0</v>
      </c>
      <c r="I66" s="272"/>
      <c r="J66" s="105"/>
      <c r="K66" s="221">
        <v>1</v>
      </c>
      <c r="L66" s="103">
        <v>27</v>
      </c>
      <c r="M66" s="109">
        <v>128</v>
      </c>
      <c r="N66" s="108">
        <f>IF(L66=0," ",IF(L66=0,0,501-M66))</f>
        <v>373</v>
      </c>
      <c r="O66" s="354"/>
      <c r="P66" s="355"/>
      <c r="Q66" s="356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305"/>
      <c r="X66" s="305"/>
      <c r="Y66" s="305"/>
      <c r="Z66" s="305"/>
      <c r="AA66" s="305"/>
      <c r="AB66" s="304">
        <f>IF(AND(C66=0,L66&gt;0),"toinen TIKAT-sarake tyhjä !",IF(AND(C66&gt;0,L66=0),"toinen TIKAT-sarake tyhjä !",""))</f>
      </c>
      <c r="AC66" s="305"/>
      <c r="AD66" s="305"/>
      <c r="AE66" s="305"/>
      <c r="AF66" s="305"/>
      <c r="AG66" s="305"/>
      <c r="AH66" s="305"/>
      <c r="AI66" s="305"/>
      <c r="AJ66" s="86"/>
      <c r="AK66" s="86"/>
    </row>
    <row r="67" spans="1:37" s="33" customFormat="1" ht="30.75" customHeight="1">
      <c r="A67" s="367" t="s">
        <v>32</v>
      </c>
      <c r="B67" s="221">
        <v>2</v>
      </c>
      <c r="C67" s="103">
        <v>30</v>
      </c>
      <c r="D67" s="109">
        <v>38</v>
      </c>
      <c r="E67" s="108">
        <f>IF(C67=0," ",IF(C67=0,0,501-D67))</f>
        <v>463</v>
      </c>
      <c r="F67" s="103">
        <v>1</v>
      </c>
      <c r="G67" s="103"/>
      <c r="H67" s="44"/>
      <c r="I67" s="272"/>
      <c r="J67" s="105"/>
      <c r="K67" s="221">
        <v>2</v>
      </c>
      <c r="L67" s="103">
        <v>28</v>
      </c>
      <c r="M67" s="109"/>
      <c r="N67" s="108">
        <f>IF(L67=0," ",IF(L67=0,0,501-M67))</f>
        <v>501</v>
      </c>
      <c r="O67" s="354"/>
      <c r="P67" s="355"/>
      <c r="Q67" s="356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D67" s="86"/>
      <c r="AH67" s="86"/>
      <c r="AI67" s="86"/>
      <c r="AJ67" s="86"/>
      <c r="AK67" s="86"/>
    </row>
    <row r="68" spans="1:37" s="33" customFormat="1" ht="30.75" customHeight="1">
      <c r="A68" s="368"/>
      <c r="B68" s="221">
        <v>3</v>
      </c>
      <c r="C68" s="103">
        <v>24</v>
      </c>
      <c r="D68" s="109">
        <v>16</v>
      </c>
      <c r="E68" s="108">
        <f>IF(C68=0," ",IF(C68=0,0,501-D68))</f>
        <v>485</v>
      </c>
      <c r="F68" s="103">
        <v>2</v>
      </c>
      <c r="G68" s="103"/>
      <c r="H68" s="44"/>
      <c r="I68" s="272"/>
      <c r="J68" s="105"/>
      <c r="K68" s="221">
        <v>3</v>
      </c>
      <c r="L68" s="103">
        <v>27</v>
      </c>
      <c r="M68" s="109"/>
      <c r="N68" s="108">
        <f>IF(L68=0," ",IF(L68=0,0,501-M68))</f>
        <v>501</v>
      </c>
      <c r="O68" s="354">
        <v>1</v>
      </c>
      <c r="P68" s="355"/>
      <c r="Q68" s="356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D68" s="86"/>
      <c r="AH68" s="86"/>
      <c r="AI68" s="86"/>
      <c r="AJ68" s="86"/>
      <c r="AK68" s="86"/>
    </row>
    <row r="69" spans="1:37" s="33" customFormat="1" ht="30.75" customHeight="1">
      <c r="A69" s="368"/>
      <c r="B69" s="221">
        <v>4</v>
      </c>
      <c r="C69" s="103">
        <v>27</v>
      </c>
      <c r="D69" s="109">
        <v>46</v>
      </c>
      <c r="E69" s="108">
        <f>IF(C69=0," ",IF(C69=0,0,501-D69))</f>
        <v>455</v>
      </c>
      <c r="F69" s="103"/>
      <c r="G69" s="103"/>
      <c r="H69" s="44"/>
      <c r="I69" s="272"/>
      <c r="J69" s="105"/>
      <c r="K69" s="221">
        <v>4</v>
      </c>
      <c r="L69" s="103">
        <v>27</v>
      </c>
      <c r="M69" s="109"/>
      <c r="N69" s="108">
        <f>IF(L69=0," ",IF(L69=0,0,501-M69))</f>
        <v>501</v>
      </c>
      <c r="O69" s="354">
        <v>2</v>
      </c>
      <c r="P69" s="355"/>
      <c r="Q69" s="356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D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9"/>
      <c r="E70" s="108" t="str">
        <f>IF(C70=0," ",IF(C70=0,0,501-D70))</f>
        <v> </v>
      </c>
      <c r="F70" s="103"/>
      <c r="G70" s="103"/>
      <c r="H70" s="44"/>
      <c r="I70" s="272"/>
      <c r="J70" s="105"/>
      <c r="K70" s="221">
        <v>5</v>
      </c>
      <c r="L70" s="103"/>
      <c r="M70" s="109"/>
      <c r="N70" s="108" t="str">
        <f>IF(L70=0," ",IF(L70=0,0,501-M70))</f>
        <v> </v>
      </c>
      <c r="O70" s="354"/>
      <c r="P70" s="355"/>
      <c r="Q70" s="356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D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4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4</v>
      </c>
      <c r="M71" s="231">
        <f>COUNTIF(M66:M70,"&gt;0")</f>
        <v>1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D71" s="86"/>
      <c r="AH71" s="86"/>
      <c r="AI71" s="86"/>
      <c r="AJ71" s="86"/>
      <c r="AK71" s="86"/>
    </row>
    <row r="72" spans="1:28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</row>
    <row r="73" spans="1:37" s="33" customFormat="1" ht="27" customHeight="1">
      <c r="A73" s="206"/>
      <c r="B73" s="207" t="s">
        <v>0</v>
      </c>
      <c r="C73" s="360" t="str">
        <f>C21</f>
        <v>Sakari Kinnunen</v>
      </c>
      <c r="D73" s="360"/>
      <c r="E73" s="360"/>
      <c r="F73" s="360"/>
      <c r="G73" s="360"/>
      <c r="H73" s="236">
        <f>IF(OR(H74="L",C73=0),0,1)</f>
        <v>1</v>
      </c>
      <c r="I73" s="217"/>
      <c r="J73" s="208"/>
      <c r="K73" s="209" t="s">
        <v>0</v>
      </c>
      <c r="L73" s="360" t="str">
        <f>J21</f>
        <v>Ari Heinonen</v>
      </c>
      <c r="M73" s="360"/>
      <c r="N73" s="360"/>
      <c r="O73" s="360"/>
      <c r="P73" s="360"/>
      <c r="Q73" s="383"/>
      <c r="R73" s="383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D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84"/>
      <c r="J74" s="38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D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7" t="s">
        <v>29</v>
      </c>
      <c r="P75" s="358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D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23</v>
      </c>
      <c r="D76" s="109"/>
      <c r="E76" s="108">
        <f>IF(C76=0,"",IF(C76=0,0,501-D76))</f>
        <v>501</v>
      </c>
      <c r="F76" s="103">
        <v>1</v>
      </c>
      <c r="G76" s="103"/>
      <c r="H76" s="235">
        <f>IF(AND(H73=1,S73=0),1,IF(COUNT(C76:C80)&gt;2,IF(COUNT(D76:D80)=3,0,1),0))</f>
        <v>1</v>
      </c>
      <c r="I76" s="272"/>
      <c r="J76" s="105"/>
      <c r="K76" s="221">
        <v>1</v>
      </c>
      <c r="L76" s="103">
        <v>21</v>
      </c>
      <c r="M76" s="109">
        <v>216</v>
      </c>
      <c r="N76" s="108">
        <f>IF(L76=0," ",IF(L76=0,0,501-M76))</f>
        <v>285</v>
      </c>
      <c r="O76" s="354"/>
      <c r="P76" s="355"/>
      <c r="Q76" s="356"/>
      <c r="R76" s="103"/>
      <c r="S76" s="211"/>
      <c r="U76" s="104">
        <f>IF(AND(S73=1,H73=0),1,IF(COUNT(L76:L80)&gt;2,IF(COUNT(M76:M80)=3,0,1),0))</f>
        <v>0</v>
      </c>
      <c r="V76" s="303" t="str">
        <f>IF(AND(E76=501,N76=501),"TARKISTA JÄI-SARAKE"," ")</f>
        <v> </v>
      </c>
      <c r="W76" s="305"/>
      <c r="X76" s="305"/>
      <c r="Y76" s="305"/>
      <c r="Z76" s="305"/>
      <c r="AA76" s="305"/>
      <c r="AB76" s="304">
        <f>IF(AND(C76=0,L76&gt;0),"toinen TIKAT-sarake tyhjä !",IF(AND(C76&gt;0,L76=0),"toinen TIKAT-sarake tyhjä !",""))</f>
      </c>
      <c r="AC76" s="305"/>
      <c r="AD76" s="305"/>
      <c r="AE76" s="305"/>
      <c r="AF76" s="305"/>
      <c r="AG76" s="305"/>
      <c r="AH76" s="305"/>
      <c r="AI76" s="305"/>
      <c r="AJ76" s="305"/>
      <c r="AK76" s="86"/>
    </row>
    <row r="77" spans="1:37" s="33" customFormat="1" ht="30.75" customHeight="1">
      <c r="A77" s="367" t="s">
        <v>33</v>
      </c>
      <c r="B77" s="221">
        <v>2</v>
      </c>
      <c r="C77" s="103">
        <v>23</v>
      </c>
      <c r="D77" s="109"/>
      <c r="E77" s="108">
        <f>IF(C77=0," ",IF(C77=0,0,501-D77))</f>
        <v>501</v>
      </c>
      <c r="F77" s="103">
        <v>1</v>
      </c>
      <c r="G77" s="103"/>
      <c r="H77" s="211"/>
      <c r="I77" s="272"/>
      <c r="J77" s="105"/>
      <c r="K77" s="221">
        <v>2</v>
      </c>
      <c r="L77" s="103">
        <v>24</v>
      </c>
      <c r="M77" s="109">
        <v>126</v>
      </c>
      <c r="N77" s="108">
        <f>IF(L77=0," ",IF(L77=0,0,501-M77))</f>
        <v>375</v>
      </c>
      <c r="O77" s="354">
        <v>1</v>
      </c>
      <c r="P77" s="355"/>
      <c r="Q77" s="356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D77" s="86"/>
      <c r="AH77" s="86"/>
      <c r="AI77" s="86"/>
      <c r="AJ77" s="86"/>
      <c r="AK77" s="86"/>
    </row>
    <row r="78" spans="1:37" s="33" customFormat="1" ht="30.75" customHeight="1">
      <c r="A78" s="368"/>
      <c r="B78" s="221">
        <v>3</v>
      </c>
      <c r="C78" s="103">
        <v>24</v>
      </c>
      <c r="D78" s="109"/>
      <c r="E78" s="108">
        <f>IF(C78=0," ",IF(C78=0,0,501-D78))</f>
        <v>501</v>
      </c>
      <c r="F78" s="103">
        <v>1</v>
      </c>
      <c r="G78" s="103"/>
      <c r="H78" s="211"/>
      <c r="I78" s="272"/>
      <c r="J78" s="105"/>
      <c r="K78" s="221">
        <v>3</v>
      </c>
      <c r="L78" s="103">
        <v>21</v>
      </c>
      <c r="M78" s="109">
        <v>18</v>
      </c>
      <c r="N78" s="108">
        <f>IF(L78=0," ",IF(L78=0,0,501-M78))</f>
        <v>483</v>
      </c>
      <c r="O78" s="354">
        <v>2</v>
      </c>
      <c r="P78" s="355"/>
      <c r="Q78" s="356"/>
      <c r="R78" s="103">
        <v>1</v>
      </c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D78" s="86"/>
      <c r="AH78" s="86"/>
      <c r="AI78" s="86"/>
      <c r="AJ78" s="86"/>
      <c r="AK78" s="86"/>
    </row>
    <row r="79" spans="1:37" s="33" customFormat="1" ht="30.75" customHeight="1">
      <c r="A79" s="368"/>
      <c r="B79" s="221">
        <v>4</v>
      </c>
      <c r="C79" s="103"/>
      <c r="D79" s="109"/>
      <c r="E79" s="108" t="str">
        <f>IF(C79=0," ",IF(C79=0,0,501-D79))</f>
        <v> </v>
      </c>
      <c r="F79" s="103"/>
      <c r="G79" s="103"/>
      <c r="H79" s="211"/>
      <c r="I79" s="272"/>
      <c r="J79" s="105"/>
      <c r="K79" s="221">
        <v>4</v>
      </c>
      <c r="L79" s="103"/>
      <c r="M79" s="109"/>
      <c r="N79" s="108" t="str">
        <f>IF(L79=0," ",IF(L79=0,0,501-M79))</f>
        <v> </v>
      </c>
      <c r="O79" s="354"/>
      <c r="P79" s="355"/>
      <c r="Q79" s="356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D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9"/>
      <c r="E80" s="108" t="str">
        <f>IF(C80=0," ",IF(C80=0,0,501-D80))</f>
        <v> </v>
      </c>
      <c r="F80" s="103"/>
      <c r="G80" s="103"/>
      <c r="H80" s="211"/>
      <c r="I80" s="272"/>
      <c r="J80" s="105"/>
      <c r="K80" s="221">
        <v>5</v>
      </c>
      <c r="L80" s="103"/>
      <c r="M80" s="109"/>
      <c r="N80" s="108" t="str">
        <f>IF(L80=0," ",IF(L80=0,0,501-M80))</f>
        <v> </v>
      </c>
      <c r="O80" s="354"/>
      <c r="P80" s="355"/>
      <c r="Q80" s="356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D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3</v>
      </c>
      <c r="D81" s="231">
        <f>COUNTIF(D76:D80,"&gt;0")</f>
        <v>0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3</v>
      </c>
      <c r="M81" s="231">
        <f>COUNTIF(M76:M80,"&gt;0")</f>
        <v>3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D81" s="86"/>
      <c r="AH81" s="86"/>
      <c r="AI81" s="86"/>
      <c r="AJ81" s="86"/>
      <c r="AK81" s="86"/>
    </row>
    <row r="82" spans="1:28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</row>
    <row r="83" spans="1:37" s="33" customFormat="1" ht="29.25" customHeight="1">
      <c r="A83" s="206"/>
      <c r="B83" s="207" t="s">
        <v>0</v>
      </c>
      <c r="C83" s="360" t="str">
        <f>C22</f>
        <v>Mikael Nyholm</v>
      </c>
      <c r="D83" s="360"/>
      <c r="E83" s="360"/>
      <c r="F83" s="360"/>
      <c r="G83" s="360"/>
      <c r="H83" s="236">
        <f>IF(OR(H84="L",C83=0),0,1)</f>
        <v>1</v>
      </c>
      <c r="I83" s="217"/>
      <c r="J83" s="208"/>
      <c r="K83" s="209" t="s">
        <v>0</v>
      </c>
      <c r="L83" s="360" t="str">
        <f>J22</f>
        <v>Kari Laine</v>
      </c>
      <c r="M83" s="360"/>
      <c r="N83" s="360"/>
      <c r="O83" s="360"/>
      <c r="P83" s="360"/>
      <c r="Q83" s="383"/>
      <c r="R83" s="383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D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84"/>
      <c r="J84" s="38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D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7" t="s">
        <v>29</v>
      </c>
      <c r="P85" s="358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D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41</v>
      </c>
      <c r="D86" s="109"/>
      <c r="E86" s="108">
        <f>IF(C86=0," ",IF(C86=0,0,501-D86))</f>
        <v>501</v>
      </c>
      <c r="F86" s="103">
        <v>1</v>
      </c>
      <c r="G86" s="103"/>
      <c r="H86" s="235">
        <f>IF(AND(H83=1,S83=0),1,IF(COUNT(C86:C90)&gt;2,IF(COUNT(D86:D90)=3,0,1),0))</f>
        <v>0</v>
      </c>
      <c r="I86" s="272"/>
      <c r="J86" s="105"/>
      <c r="K86" s="221">
        <v>1</v>
      </c>
      <c r="L86" s="103">
        <v>42</v>
      </c>
      <c r="M86" s="109">
        <v>32</v>
      </c>
      <c r="N86" s="108">
        <f>IF(L86=0," ",IF(L86=0,0,501-M86))</f>
        <v>469</v>
      </c>
      <c r="O86" s="354"/>
      <c r="P86" s="355"/>
      <c r="Q86" s="356"/>
      <c r="R86" s="103"/>
      <c r="S86" s="211"/>
      <c r="U86" s="104">
        <f>IF(AND(S83=1,H83=0),1,IF(COUNT(L86:L90)&gt;2,IF(COUNT(M86:M90)=3,0,1),0))</f>
        <v>1</v>
      </c>
      <c r="V86" s="303" t="str">
        <f>IF(AND(E86=501,N86=501),"TARKISTA JÄI-SARAKE"," ")</f>
        <v> </v>
      </c>
      <c r="W86" s="305"/>
      <c r="X86" s="305"/>
      <c r="Y86" s="305"/>
      <c r="Z86" s="305"/>
      <c r="AA86" s="305"/>
      <c r="AB86" s="304">
        <f>IF(AND(C86=0,L86&gt;0),"toinen TIKAT-sarake tyhjä !",IF(AND(C86&gt;0,L86=0),"toinen TIKAT-sarake tyhjä !",""))</f>
      </c>
      <c r="AC86" s="305"/>
      <c r="AD86" s="305"/>
      <c r="AE86" s="305"/>
      <c r="AF86" s="305"/>
      <c r="AG86" s="305"/>
      <c r="AH86" s="305"/>
      <c r="AI86" s="305"/>
      <c r="AJ86" s="86"/>
      <c r="AK86" s="86"/>
    </row>
    <row r="87" spans="1:37" s="33" customFormat="1" ht="30" customHeight="1">
      <c r="A87" s="367" t="s">
        <v>34</v>
      </c>
      <c r="B87" s="221">
        <v>2</v>
      </c>
      <c r="C87" s="103">
        <v>39</v>
      </c>
      <c r="D87" s="109">
        <v>6</v>
      </c>
      <c r="E87" s="108">
        <f>IF(C87=0," ",IF(C87=0,0,501-D87))</f>
        <v>495</v>
      </c>
      <c r="F87" s="103">
        <v>2</v>
      </c>
      <c r="G87" s="103"/>
      <c r="H87" s="233"/>
      <c r="I87" s="272"/>
      <c r="J87" s="105"/>
      <c r="K87" s="221">
        <v>2</v>
      </c>
      <c r="L87" s="103">
        <v>37</v>
      </c>
      <c r="M87" s="109"/>
      <c r="N87" s="108">
        <f>IF(L87=0," ",IF(L87=0,0,501-M87))</f>
        <v>501</v>
      </c>
      <c r="O87" s="354">
        <v>1</v>
      </c>
      <c r="P87" s="355"/>
      <c r="Q87" s="356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D87" s="86"/>
      <c r="AH87" s="86"/>
      <c r="AI87" s="86"/>
      <c r="AJ87" s="86"/>
      <c r="AK87" s="86"/>
    </row>
    <row r="88" spans="1:37" s="33" customFormat="1" ht="30" customHeight="1">
      <c r="A88" s="368"/>
      <c r="B88" s="221">
        <v>3</v>
      </c>
      <c r="C88" s="103">
        <v>30</v>
      </c>
      <c r="D88" s="109">
        <v>32</v>
      </c>
      <c r="E88" s="108">
        <f>IF(C88=0," ",IF(C88=0,0,501-D88))</f>
        <v>469</v>
      </c>
      <c r="F88" s="103">
        <v>1</v>
      </c>
      <c r="G88" s="103"/>
      <c r="H88" s="211"/>
      <c r="I88" s="272"/>
      <c r="J88" s="105"/>
      <c r="K88" s="221">
        <v>3</v>
      </c>
      <c r="L88" s="103">
        <v>32</v>
      </c>
      <c r="M88" s="109"/>
      <c r="N88" s="108">
        <f>IF(L88=0," ",IF(L88=0,0,501-M88))</f>
        <v>501</v>
      </c>
      <c r="O88" s="354">
        <v>1</v>
      </c>
      <c r="P88" s="355"/>
      <c r="Q88" s="356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D88" s="86"/>
      <c r="AH88" s="86"/>
      <c r="AI88" s="86"/>
      <c r="AJ88" s="86"/>
      <c r="AK88" s="86"/>
    </row>
    <row r="89" spans="1:37" s="33" customFormat="1" ht="30" customHeight="1">
      <c r="A89" s="368"/>
      <c r="B89" s="221">
        <v>4</v>
      </c>
      <c r="C89" s="103">
        <v>25</v>
      </c>
      <c r="D89" s="109"/>
      <c r="E89" s="108">
        <f>IF(C89=0," ",IF(C89=0,0,501-D89))</f>
        <v>501</v>
      </c>
      <c r="F89" s="103"/>
      <c r="G89" s="103"/>
      <c r="H89" s="211"/>
      <c r="I89" s="272"/>
      <c r="J89" s="105"/>
      <c r="K89" s="221">
        <v>4</v>
      </c>
      <c r="L89" s="103">
        <v>24</v>
      </c>
      <c r="M89" s="109">
        <v>158</v>
      </c>
      <c r="N89" s="108">
        <f>IF(L89=0," ",IF(L89=0,0,501-M89))</f>
        <v>343</v>
      </c>
      <c r="O89" s="354"/>
      <c r="P89" s="355"/>
      <c r="Q89" s="356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D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>
        <v>45</v>
      </c>
      <c r="D90" s="109">
        <v>6</v>
      </c>
      <c r="E90" s="108">
        <f>IF(C90=0," ",IF(C90=0,0,501-D90))</f>
        <v>495</v>
      </c>
      <c r="F90" s="103">
        <v>1</v>
      </c>
      <c r="G90" s="103"/>
      <c r="H90" s="211"/>
      <c r="I90" s="272"/>
      <c r="J90" s="105"/>
      <c r="K90" s="221">
        <v>5</v>
      </c>
      <c r="L90" s="103">
        <v>48</v>
      </c>
      <c r="M90" s="109"/>
      <c r="N90" s="108">
        <f>IF(L90=0," ",IF(L90=0,0,501-M90))</f>
        <v>501</v>
      </c>
      <c r="O90" s="354"/>
      <c r="P90" s="355"/>
      <c r="Q90" s="356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D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5</v>
      </c>
      <c r="D91" s="231">
        <f>COUNTIF(D86:D90,"&gt;0")</f>
        <v>3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5</v>
      </c>
      <c r="M91" s="231">
        <f>COUNTIF(M86:M90,"&gt;0")</f>
        <v>2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D91" s="86"/>
      <c r="AH91" s="86"/>
      <c r="AI91" s="86"/>
      <c r="AJ91" s="86"/>
      <c r="AK91" s="86"/>
    </row>
    <row r="92" spans="1:28" s="86" customFormat="1" ht="36" customHeight="1" thickBot="1">
      <c r="A92" s="85"/>
      <c r="B92" s="94" t="s">
        <v>34</v>
      </c>
      <c r="C92" s="85"/>
      <c r="D92" s="85"/>
      <c r="E92" s="85"/>
      <c r="F92" s="85"/>
      <c r="G92" s="85"/>
      <c r="H92" s="44"/>
      <c r="I92" s="111"/>
      <c r="J92" s="111"/>
      <c r="K92" s="111"/>
      <c r="L92" s="111"/>
      <c r="M92" s="111"/>
      <c r="N92" s="85"/>
      <c r="O92" s="85"/>
      <c r="P92" s="85"/>
      <c r="Q92" s="85"/>
      <c r="R92" s="85"/>
      <c r="S92" s="85"/>
      <c r="T92" s="44"/>
      <c r="U92" s="85"/>
      <c r="V92" s="306"/>
      <c r="W92" s="85"/>
      <c r="AB92" s="305"/>
    </row>
    <row r="93" spans="1:37" s="33" customFormat="1" ht="30" customHeight="1">
      <c r="A93" s="206"/>
      <c r="B93" s="207" t="s">
        <v>0</v>
      </c>
      <c r="C93" s="360" t="str">
        <f>C23</f>
        <v>Tobias Lindholm</v>
      </c>
      <c r="D93" s="360"/>
      <c r="E93" s="360"/>
      <c r="F93" s="360"/>
      <c r="G93" s="360"/>
      <c r="H93" s="236">
        <f>IF(OR(H94="L",C93=0),0,1)</f>
        <v>1</v>
      </c>
      <c r="I93" s="217"/>
      <c r="J93" s="208"/>
      <c r="K93" s="209" t="s">
        <v>0</v>
      </c>
      <c r="L93" s="360" t="str">
        <f>J23</f>
        <v>Jyri Vesalainen</v>
      </c>
      <c r="M93" s="360"/>
      <c r="N93" s="360"/>
      <c r="O93" s="360"/>
      <c r="P93" s="360"/>
      <c r="Q93" s="383"/>
      <c r="R93" s="383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D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84"/>
      <c r="J94" s="38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D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7" t="s">
        <v>29</v>
      </c>
      <c r="P95" s="358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D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26</v>
      </c>
      <c r="D96" s="109"/>
      <c r="E96" s="108">
        <f>IF(C96=0," ",IF(C96=0,0,501-D96))</f>
        <v>501</v>
      </c>
      <c r="F96" s="103">
        <v>2</v>
      </c>
      <c r="G96" s="103"/>
      <c r="H96" s="235">
        <f>IF(AND(H93=1,S93=0),1,IF(COUNT(C96:C100)&gt;2,IF(COUNT(D96:D100)=3,0,1),0))</f>
        <v>1</v>
      </c>
      <c r="I96" s="272"/>
      <c r="J96" s="105"/>
      <c r="K96" s="221">
        <v>1</v>
      </c>
      <c r="L96" s="103">
        <v>24</v>
      </c>
      <c r="M96" s="109">
        <v>86</v>
      </c>
      <c r="N96" s="108">
        <f>IF(L96=0," ",IF(L96=0,0,501-M96))</f>
        <v>415</v>
      </c>
      <c r="O96" s="354">
        <v>1</v>
      </c>
      <c r="P96" s="355"/>
      <c r="Q96" s="356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305"/>
      <c r="X96" s="305"/>
      <c r="Y96" s="305"/>
      <c r="Z96" s="305"/>
      <c r="AA96" s="305"/>
      <c r="AB96" s="304">
        <f>IF(AND(C96=0,L96&gt;0),"toinen TIKAT-sarake tyhjä !",IF(AND(C96&gt;0,L96=0),"toinen TIKAT-sarake tyhjä !",""))</f>
      </c>
      <c r="AC96" s="305"/>
      <c r="AD96" s="305"/>
      <c r="AE96" s="305"/>
      <c r="AF96" s="305"/>
      <c r="AG96" s="305"/>
      <c r="AH96" s="305"/>
      <c r="AI96" s="305"/>
      <c r="AJ96" s="86"/>
      <c r="AK96" s="86"/>
    </row>
    <row r="97" spans="1:37" s="33" customFormat="1" ht="30.75" customHeight="1">
      <c r="A97" s="367" t="s">
        <v>35</v>
      </c>
      <c r="B97" s="221">
        <v>2</v>
      </c>
      <c r="C97" s="103">
        <v>21</v>
      </c>
      <c r="D97" s="109">
        <v>25</v>
      </c>
      <c r="E97" s="108">
        <f>IF(C97=0," ",IF(C97=0,0,501-D97))</f>
        <v>476</v>
      </c>
      <c r="F97" s="103">
        <v>1</v>
      </c>
      <c r="G97" s="103"/>
      <c r="H97" s="233"/>
      <c r="I97" s="272"/>
      <c r="J97" s="105"/>
      <c r="K97" s="221">
        <v>2</v>
      </c>
      <c r="L97" s="103">
        <v>23</v>
      </c>
      <c r="M97" s="109"/>
      <c r="N97" s="108">
        <f>IF(L97=0," ",IF(L97=0,0,501-M97))</f>
        <v>501</v>
      </c>
      <c r="O97" s="354">
        <v>2</v>
      </c>
      <c r="P97" s="355"/>
      <c r="Q97" s="356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D97" s="86"/>
      <c r="AH97" s="86"/>
      <c r="AI97" s="86"/>
      <c r="AJ97" s="86"/>
      <c r="AK97" s="86"/>
    </row>
    <row r="98" spans="1:37" s="33" customFormat="1" ht="30.75" customHeight="1">
      <c r="A98" s="368"/>
      <c r="B98" s="221">
        <v>3</v>
      </c>
      <c r="C98" s="103">
        <v>29</v>
      </c>
      <c r="D98" s="109"/>
      <c r="E98" s="108">
        <f>IF(C98=0," ",IF(C98=0,0,501-D98))</f>
        <v>501</v>
      </c>
      <c r="F98" s="103">
        <v>1</v>
      </c>
      <c r="G98" s="103"/>
      <c r="H98" s="211"/>
      <c r="I98" s="272"/>
      <c r="J98" s="105"/>
      <c r="K98" s="221">
        <v>3</v>
      </c>
      <c r="L98" s="103">
        <v>27</v>
      </c>
      <c r="M98" s="109">
        <v>10</v>
      </c>
      <c r="N98" s="108">
        <f>IF(L98=0," ",IF(L98=0,0,501-M98))</f>
        <v>491</v>
      </c>
      <c r="O98" s="354">
        <v>1</v>
      </c>
      <c r="P98" s="355"/>
      <c r="Q98" s="356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D98" s="86"/>
      <c r="AH98" s="86"/>
      <c r="AI98" s="86"/>
      <c r="AJ98" s="86"/>
      <c r="AK98" s="86"/>
    </row>
    <row r="99" spans="1:37" s="33" customFormat="1" ht="30.75" customHeight="1">
      <c r="A99" s="368"/>
      <c r="B99" s="221">
        <v>4</v>
      </c>
      <c r="C99" s="103">
        <v>27</v>
      </c>
      <c r="D99" s="109">
        <v>16</v>
      </c>
      <c r="E99" s="108">
        <f>IF(C99=0," ",IF(C99=0,0,501-D99))</f>
        <v>485</v>
      </c>
      <c r="F99" s="103">
        <v>3</v>
      </c>
      <c r="G99" s="103"/>
      <c r="H99" s="211"/>
      <c r="I99" s="272"/>
      <c r="J99" s="105"/>
      <c r="K99" s="221">
        <v>4</v>
      </c>
      <c r="L99" s="103">
        <v>30</v>
      </c>
      <c r="M99" s="109"/>
      <c r="N99" s="108">
        <f>IF(L99=0," ",IF(L99=0,0,501-M99))</f>
        <v>501</v>
      </c>
      <c r="O99" s="354"/>
      <c r="P99" s="355"/>
      <c r="Q99" s="356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D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>
        <v>24</v>
      </c>
      <c r="D100" s="109"/>
      <c r="E100" s="108">
        <f>IF(C100=0," ",IF(C100=0,0,501-D100))</f>
        <v>501</v>
      </c>
      <c r="F100" s="103">
        <v>1</v>
      </c>
      <c r="G100" s="103"/>
      <c r="H100" s="211"/>
      <c r="I100" s="272"/>
      <c r="J100" s="105"/>
      <c r="K100" s="221">
        <v>5</v>
      </c>
      <c r="L100" s="103">
        <v>21</v>
      </c>
      <c r="M100" s="109">
        <v>125</v>
      </c>
      <c r="N100" s="108">
        <f>IF(L100=0," ",IF(L100=0,0,501-M100))</f>
        <v>376</v>
      </c>
      <c r="O100" s="354"/>
      <c r="P100" s="355"/>
      <c r="Q100" s="356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D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5</v>
      </c>
      <c r="D101" s="231">
        <f>COUNTIF(D96:D100,"&gt;0")</f>
        <v>2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5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D101" s="86"/>
      <c r="AH101" s="86"/>
      <c r="AI101" s="86"/>
      <c r="AJ101" s="86"/>
      <c r="AK101" s="86"/>
    </row>
    <row r="102" spans="1:28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</row>
    <row r="103" spans="1:37" s="33" customFormat="1" ht="27.75" customHeight="1">
      <c r="A103" s="206"/>
      <c r="B103" s="207" t="s">
        <v>0</v>
      </c>
      <c r="C103" s="360" t="str">
        <f>C24</f>
        <v>Tony Nyholm</v>
      </c>
      <c r="D103" s="360"/>
      <c r="E103" s="360"/>
      <c r="F103" s="360"/>
      <c r="G103" s="360"/>
      <c r="H103" s="236">
        <f>IF(OR(H104="L",C103=0),0,1)</f>
        <v>1</v>
      </c>
      <c r="I103" s="217"/>
      <c r="J103" s="208"/>
      <c r="K103" s="209" t="s">
        <v>0</v>
      </c>
      <c r="L103" s="360" t="str">
        <f>J24</f>
        <v>Olli-Pekka Kallioniemi</v>
      </c>
      <c r="M103" s="360"/>
      <c r="N103" s="360"/>
      <c r="O103" s="360"/>
      <c r="P103" s="360"/>
      <c r="Q103" s="383"/>
      <c r="R103" s="383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D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84"/>
      <c r="J104" s="38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D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7" t="s">
        <v>29</v>
      </c>
      <c r="P105" s="358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D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24</v>
      </c>
      <c r="D106" s="109">
        <v>130</v>
      </c>
      <c r="E106" s="108">
        <f>IF(C106=0," ",IF(C106=0,0,501-D106))</f>
        <v>371</v>
      </c>
      <c r="F106" s="103">
        <v>1</v>
      </c>
      <c r="G106" s="103"/>
      <c r="H106" s="235">
        <f>IF(AND(H103=1,S103=0),1,IF(COUNT(C106:C110)&gt;2,IF(COUNT(D106:D110)=3,0,1),0))</f>
        <v>0</v>
      </c>
      <c r="I106" s="272"/>
      <c r="J106" s="105"/>
      <c r="K106" s="221">
        <v>1</v>
      </c>
      <c r="L106" s="103">
        <v>25</v>
      </c>
      <c r="M106" s="109"/>
      <c r="N106" s="108">
        <f>IF(L106=0," ",IF(L106=0,0,501-M106))</f>
        <v>501</v>
      </c>
      <c r="O106" s="354">
        <v>1</v>
      </c>
      <c r="P106" s="355"/>
      <c r="Q106" s="356"/>
      <c r="R106" s="103"/>
      <c r="S106" s="211"/>
      <c r="U106" s="104">
        <f>IF(AND(S103=1,H103=0),1,IF(COUNT(L106:L110)&gt;2,IF(COUNT(M106:M110)=3,0,1),0))</f>
        <v>1</v>
      </c>
      <c r="V106" s="303" t="str">
        <f>IF(AND(E106=501,N106=501),"TARKISTA JÄI-SARAKE"," ")</f>
        <v> </v>
      </c>
      <c r="W106" s="305"/>
      <c r="X106" s="305"/>
      <c r="Y106" s="305"/>
      <c r="Z106" s="305"/>
      <c r="AA106" s="305"/>
      <c r="AB106" s="304">
        <f>IF(AND(C106=0,L106&gt;0),"toinen TIKAT-sarake tyhjä !",IF(AND(C106&gt;0,L106=0),"toinen TIKAT-sarake tyhjä !",""))</f>
      </c>
      <c r="AC106" s="305"/>
      <c r="AD106" s="305"/>
      <c r="AE106" s="305"/>
      <c r="AF106" s="305"/>
      <c r="AG106" s="305"/>
      <c r="AH106" s="305"/>
      <c r="AI106" s="305"/>
      <c r="AJ106" s="86"/>
      <c r="AK106" s="86"/>
    </row>
    <row r="107" spans="1:37" s="33" customFormat="1" ht="30" customHeight="1">
      <c r="A107" s="367" t="s">
        <v>36</v>
      </c>
      <c r="B107" s="221">
        <v>2</v>
      </c>
      <c r="C107" s="103">
        <v>32</v>
      </c>
      <c r="D107" s="109"/>
      <c r="E107" s="108">
        <f>IF(C107=0," ",IF(C107=0,0,501-D107))</f>
        <v>501</v>
      </c>
      <c r="F107" s="103"/>
      <c r="G107" s="103"/>
      <c r="H107" s="211"/>
      <c r="I107" s="272"/>
      <c r="J107" s="105"/>
      <c r="K107" s="221">
        <v>2</v>
      </c>
      <c r="L107" s="103">
        <v>30</v>
      </c>
      <c r="M107" s="109">
        <v>3</v>
      </c>
      <c r="N107" s="108">
        <f>IF(L107=0," ",IF(L107=0,0,501-M107))</f>
        <v>498</v>
      </c>
      <c r="O107" s="354">
        <v>1</v>
      </c>
      <c r="P107" s="355"/>
      <c r="Q107" s="356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D107" s="86"/>
      <c r="AH107" s="86"/>
      <c r="AI107" s="86"/>
      <c r="AJ107" s="86"/>
      <c r="AK107" s="86"/>
    </row>
    <row r="108" spans="1:37" s="33" customFormat="1" ht="30" customHeight="1">
      <c r="A108" s="368"/>
      <c r="B108" s="221">
        <v>3</v>
      </c>
      <c r="C108" s="103">
        <v>30</v>
      </c>
      <c r="D108" s="109">
        <v>33</v>
      </c>
      <c r="E108" s="108">
        <f>IF(C108=0," ",IF(C108=0,0,501-D108))</f>
        <v>468</v>
      </c>
      <c r="F108" s="103"/>
      <c r="G108" s="103"/>
      <c r="H108" s="211"/>
      <c r="I108" s="272"/>
      <c r="J108" s="105"/>
      <c r="K108" s="221">
        <v>3</v>
      </c>
      <c r="L108" s="103">
        <v>31</v>
      </c>
      <c r="M108" s="109"/>
      <c r="N108" s="108">
        <f>IF(L108=0," ",IF(L108=0,0,501-M108))</f>
        <v>501</v>
      </c>
      <c r="O108" s="354">
        <v>1</v>
      </c>
      <c r="P108" s="355"/>
      <c r="Q108" s="356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D108" s="86"/>
      <c r="AH108" s="86"/>
      <c r="AI108" s="86"/>
      <c r="AJ108" s="86"/>
      <c r="AK108" s="86"/>
    </row>
    <row r="109" spans="1:37" s="33" customFormat="1" ht="30" customHeight="1">
      <c r="A109" s="368"/>
      <c r="B109" s="221">
        <v>4</v>
      </c>
      <c r="C109" s="103">
        <v>27</v>
      </c>
      <c r="D109" s="109">
        <v>163</v>
      </c>
      <c r="E109" s="108">
        <f>IF(C109=0," ",IF(C109=0,0,501-D109))</f>
        <v>338</v>
      </c>
      <c r="F109" s="103"/>
      <c r="G109" s="103"/>
      <c r="H109" s="211"/>
      <c r="I109" s="272"/>
      <c r="J109" s="105"/>
      <c r="K109" s="221">
        <v>4</v>
      </c>
      <c r="L109" s="103">
        <v>26</v>
      </c>
      <c r="M109" s="109"/>
      <c r="N109" s="108">
        <f>IF(L109=0," ",IF(L109=0,0,501-M109))</f>
        <v>501</v>
      </c>
      <c r="O109" s="354">
        <v>2</v>
      </c>
      <c r="P109" s="355"/>
      <c r="Q109" s="356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D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9"/>
      <c r="E110" s="108" t="str">
        <f>IF(C110=0," ",IF(C110=0,0,501-D110))</f>
        <v> </v>
      </c>
      <c r="F110" s="103"/>
      <c r="G110" s="103"/>
      <c r="H110" s="211"/>
      <c r="I110" s="272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54"/>
      <c r="P110" s="355"/>
      <c r="Q110" s="356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D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4</v>
      </c>
      <c r="D111" s="231">
        <f>COUNTIF(D106:D110,"&gt;0")</f>
        <v>3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4</v>
      </c>
      <c r="M111" s="231">
        <f>COUNTIF(M106:M110,"&gt;0")</f>
        <v>1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D111" s="86"/>
      <c r="AH111" s="86"/>
      <c r="AI111" s="86"/>
      <c r="AJ111" s="86"/>
      <c r="AK111" s="86"/>
    </row>
    <row r="112" spans="1:28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</row>
    <row r="113" spans="1:37" s="33" customFormat="1" ht="28.5" customHeight="1">
      <c r="A113" s="206"/>
      <c r="B113" s="207" t="s">
        <v>0</v>
      </c>
      <c r="C113" s="360" t="str">
        <f>C25</f>
        <v>Sakari Kinnunen</v>
      </c>
      <c r="D113" s="360"/>
      <c r="E113" s="360"/>
      <c r="F113" s="360"/>
      <c r="G113" s="360"/>
      <c r="H113" s="236">
        <f>IF(OR(H114="L",C113=0),0,1)</f>
        <v>1</v>
      </c>
      <c r="I113" s="217"/>
      <c r="J113" s="208"/>
      <c r="K113" s="209" t="s">
        <v>0</v>
      </c>
      <c r="L113" s="360" t="str">
        <f>J25</f>
        <v>Kari Laine</v>
      </c>
      <c r="M113" s="360"/>
      <c r="N113" s="360"/>
      <c r="O113" s="360"/>
      <c r="P113" s="360"/>
      <c r="Q113" s="383"/>
      <c r="R113" s="383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D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84"/>
      <c r="J114" s="38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D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7" t="s">
        <v>29</v>
      </c>
      <c r="P115" s="358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D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15</v>
      </c>
      <c r="D116" s="109"/>
      <c r="E116" s="108">
        <f>IF(C116=0," ",IF(C116=0,0,501-D116))</f>
        <v>501</v>
      </c>
      <c r="F116" s="103">
        <v>4</v>
      </c>
      <c r="G116" s="103"/>
      <c r="H116" s="235">
        <f>IF(AND(H113=1,S113=0),1,IF(COUNT(C116:C120)&gt;2,IF(COUNT(D116:D120)=3,0,1),0))</f>
        <v>1</v>
      </c>
      <c r="I116" s="272"/>
      <c r="J116" s="105"/>
      <c r="K116" s="221">
        <v>1</v>
      </c>
      <c r="L116" s="103">
        <v>12</v>
      </c>
      <c r="M116" s="109">
        <v>281</v>
      </c>
      <c r="N116" s="108">
        <f>IF(L116=0," ",IF(L116=0,0,501-M116))</f>
        <v>220</v>
      </c>
      <c r="O116" s="354">
        <v>1</v>
      </c>
      <c r="P116" s="355"/>
      <c r="Q116" s="356"/>
      <c r="R116" s="103"/>
      <c r="S116" s="233"/>
      <c r="U116" s="104">
        <f>IF(AND(S113=1,H113=0),1,IF(COUNT(L116:L120)&gt;2,IF(COUNT(M116:M120)=3,0,1),0))</f>
        <v>0</v>
      </c>
      <c r="V116" s="303" t="str">
        <f>IF(AND(E116=501,N116=501),"TARKISTA JÄI-SARAKE"," ")</f>
        <v> </v>
      </c>
      <c r="W116" s="305"/>
      <c r="X116" s="305"/>
      <c r="Y116" s="305"/>
      <c r="Z116" s="305"/>
      <c r="AA116" s="305"/>
      <c r="AB116" s="304">
        <f>IF(AND(C116=0,L116&gt;0),"toinen TIKAT-sarake tyhjä !",IF(AND(C116&gt;0,L116=0),"toinen TIKAT-sarake tyhjä !",""))</f>
      </c>
      <c r="AC116" s="305"/>
      <c r="AD116" s="305"/>
      <c r="AE116" s="305"/>
      <c r="AF116" s="305"/>
      <c r="AH116" s="86"/>
      <c r="AI116" s="86"/>
      <c r="AJ116" s="86"/>
      <c r="AK116" s="86"/>
    </row>
    <row r="117" spans="1:37" s="33" customFormat="1" ht="30" customHeight="1">
      <c r="A117" s="367" t="s">
        <v>37</v>
      </c>
      <c r="B117" s="221">
        <v>2</v>
      </c>
      <c r="C117" s="103">
        <v>24</v>
      </c>
      <c r="D117" s="109">
        <v>66</v>
      </c>
      <c r="E117" s="108">
        <f>IF(C117=0," ",IF(C117=0,0,501-D117))</f>
        <v>435</v>
      </c>
      <c r="F117" s="103">
        <v>1</v>
      </c>
      <c r="G117" s="103"/>
      <c r="H117" s="211"/>
      <c r="I117" s="272"/>
      <c r="J117" s="105"/>
      <c r="K117" s="221">
        <v>2</v>
      </c>
      <c r="L117" s="103">
        <v>25</v>
      </c>
      <c r="M117" s="109"/>
      <c r="N117" s="108">
        <f>IF(L117=0," ",IF(L117=0,0,501-M117))</f>
        <v>501</v>
      </c>
      <c r="O117" s="354">
        <v>1</v>
      </c>
      <c r="P117" s="355"/>
      <c r="Q117" s="356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D117" s="86"/>
      <c r="AH117" s="86"/>
      <c r="AI117" s="86"/>
      <c r="AJ117" s="86"/>
      <c r="AK117" s="86"/>
    </row>
    <row r="118" spans="1:37" s="33" customFormat="1" ht="30" customHeight="1">
      <c r="A118" s="368"/>
      <c r="B118" s="221">
        <v>3</v>
      </c>
      <c r="C118" s="103">
        <v>28</v>
      </c>
      <c r="D118" s="109"/>
      <c r="E118" s="108">
        <f>IF(C118=0," ",IF(C118=0,0,501-D118))</f>
        <v>501</v>
      </c>
      <c r="F118" s="103"/>
      <c r="G118" s="103"/>
      <c r="H118" s="211"/>
      <c r="I118" s="272"/>
      <c r="J118" s="105"/>
      <c r="K118" s="221">
        <v>3</v>
      </c>
      <c r="L118" s="103">
        <v>27</v>
      </c>
      <c r="M118" s="109">
        <v>155</v>
      </c>
      <c r="N118" s="108">
        <f>IF(L118=0," ",IF(L118=0,0,501-M118))</f>
        <v>346</v>
      </c>
      <c r="O118" s="354"/>
      <c r="P118" s="355"/>
      <c r="Q118" s="356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D118" s="86"/>
      <c r="AH118" s="86"/>
      <c r="AI118" s="86"/>
      <c r="AJ118" s="86"/>
      <c r="AK118" s="86"/>
    </row>
    <row r="119" spans="1:37" s="33" customFormat="1" ht="30" customHeight="1">
      <c r="A119" s="368"/>
      <c r="B119" s="221">
        <v>4</v>
      </c>
      <c r="C119" s="103">
        <v>31</v>
      </c>
      <c r="D119" s="109"/>
      <c r="E119" s="108">
        <f>IF(C119=0," ",IF(C119=0,0,501-D119))</f>
        <v>501</v>
      </c>
      <c r="F119" s="103"/>
      <c r="G119" s="103"/>
      <c r="H119" s="211"/>
      <c r="I119" s="272"/>
      <c r="J119" s="105"/>
      <c r="K119" s="221">
        <v>4</v>
      </c>
      <c r="L119" s="103">
        <v>33</v>
      </c>
      <c r="M119" s="109">
        <v>72</v>
      </c>
      <c r="N119" s="108">
        <f>IF(L119=0," ",IF(L119=0,0,501-M119))</f>
        <v>429</v>
      </c>
      <c r="O119" s="354">
        <v>1</v>
      </c>
      <c r="P119" s="355"/>
      <c r="Q119" s="356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D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9"/>
      <c r="E120" s="108" t="str">
        <f>IF(C120=0," ",IF(C120=0,0,501-D120))</f>
        <v> </v>
      </c>
      <c r="F120" s="103"/>
      <c r="G120" s="103"/>
      <c r="H120" s="211"/>
      <c r="I120" s="272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54"/>
      <c r="P120" s="355"/>
      <c r="Q120" s="356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D120" s="86"/>
      <c r="AH120" s="86"/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4</v>
      </c>
      <c r="D121" s="231">
        <f>COUNTIF(D116:D120,"&gt;0")</f>
        <v>1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4</v>
      </c>
      <c r="M121" s="231">
        <f>COUNTIF(M116:M120,"&gt;0")</f>
        <v>3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D121" s="86"/>
      <c r="AH121" s="86"/>
      <c r="AI121" s="86"/>
      <c r="AJ121" s="86"/>
      <c r="AK121" s="86"/>
    </row>
    <row r="122" spans="1:28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</row>
    <row r="123" spans="1:37" s="33" customFormat="1" ht="29.25" customHeight="1">
      <c r="A123" s="206"/>
      <c r="B123" s="207" t="s">
        <v>0</v>
      </c>
      <c r="C123" s="360" t="str">
        <f>C26</f>
        <v>Mikael Nyholm</v>
      </c>
      <c r="D123" s="360"/>
      <c r="E123" s="360"/>
      <c r="F123" s="360"/>
      <c r="G123" s="360"/>
      <c r="H123" s="236">
        <f>IF(OR(H124="L",C123=0),0,1)</f>
        <v>1</v>
      </c>
      <c r="I123" s="217"/>
      <c r="J123" s="208"/>
      <c r="K123" s="209" t="s">
        <v>0</v>
      </c>
      <c r="L123" s="360" t="str">
        <f>J26</f>
        <v>Ari Heinonen</v>
      </c>
      <c r="M123" s="360"/>
      <c r="N123" s="360"/>
      <c r="O123" s="360"/>
      <c r="P123" s="360"/>
      <c r="Q123" s="383"/>
      <c r="R123" s="383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D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84"/>
      <c r="J124" s="38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D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7" t="s">
        <v>29</v>
      </c>
      <c r="P125" s="358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D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27</v>
      </c>
      <c r="D126" s="109">
        <v>16</v>
      </c>
      <c r="E126" s="108">
        <f>IF(C126=0," ",IF(C126=0,0,501-D126))</f>
        <v>485</v>
      </c>
      <c r="F126" s="103"/>
      <c r="G126" s="103"/>
      <c r="H126" s="235">
        <f>IF(AND(H123=1,S123=0),1,IF(COUNT(C126:C130)&gt;2,IF(COUNT(D126:D130)=3,0,1),0))</f>
        <v>0</v>
      </c>
      <c r="I126" s="272"/>
      <c r="J126" s="105"/>
      <c r="K126" s="221">
        <v>1</v>
      </c>
      <c r="L126" s="109">
        <v>30</v>
      </c>
      <c r="M126" s="109"/>
      <c r="N126" s="108">
        <f>IF(L126=0," ",IF(L126=0,0,501-M126))</f>
        <v>501</v>
      </c>
      <c r="O126" s="410">
        <v>1</v>
      </c>
      <c r="P126" s="411"/>
      <c r="Q126" s="412"/>
      <c r="R126" s="109"/>
      <c r="S126" s="211"/>
      <c r="U126" s="104">
        <f>IF(AND(S123=1,H123=0),1,IF(COUNT(L126:L130)&gt;2,IF(COUNT(M126:M130)=3,0,1),0))</f>
        <v>1</v>
      </c>
      <c r="V126" s="303" t="str">
        <f>IF(AND(E126=501,N126=501),"TARKISTA JÄI-SARAKE"," ")</f>
        <v> </v>
      </c>
      <c r="W126" s="305"/>
      <c r="X126" s="305"/>
      <c r="Y126" s="305"/>
      <c r="Z126" s="305"/>
      <c r="AA126" s="305"/>
      <c r="AB126" s="304">
        <f>IF(AND(C126=0,L126&gt;0),"toinen TIKAT-sarake tyhjä !",IF(AND(C126&gt;0,L126=0),"toinen TIKAT-sarake tyhjä !",""))</f>
      </c>
      <c r="AC126" s="305"/>
      <c r="AD126" s="305"/>
      <c r="AE126" s="305"/>
      <c r="AH126" s="86"/>
      <c r="AI126" s="86"/>
      <c r="AJ126" s="86"/>
      <c r="AK126" s="86"/>
    </row>
    <row r="127" spans="1:37" s="33" customFormat="1" ht="30" customHeight="1">
      <c r="A127" s="367" t="s">
        <v>38</v>
      </c>
      <c r="B127" s="221">
        <v>2</v>
      </c>
      <c r="C127" s="103">
        <v>44</v>
      </c>
      <c r="D127" s="109"/>
      <c r="E127" s="108">
        <f>IF(C127=0," ",IF(C127=0,0,501-D127))</f>
        <v>501</v>
      </c>
      <c r="F127" s="103">
        <v>1</v>
      </c>
      <c r="G127" s="103"/>
      <c r="H127" s="211"/>
      <c r="I127" s="272"/>
      <c r="J127" s="105"/>
      <c r="K127" s="221">
        <v>2</v>
      </c>
      <c r="L127" s="109">
        <v>42</v>
      </c>
      <c r="M127" s="109">
        <v>8</v>
      </c>
      <c r="N127" s="108">
        <f>IF(L127=0," ",IF(L127=0,0,501-M127))</f>
        <v>493</v>
      </c>
      <c r="O127" s="410"/>
      <c r="P127" s="411"/>
      <c r="Q127" s="412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D127" s="86"/>
      <c r="AH127" s="86"/>
      <c r="AI127" s="86"/>
      <c r="AJ127" s="86"/>
      <c r="AK127" s="86"/>
    </row>
    <row r="128" spans="1:37" s="33" customFormat="1" ht="30" customHeight="1">
      <c r="A128" s="368"/>
      <c r="B128" s="221">
        <v>3</v>
      </c>
      <c r="C128" s="103">
        <v>28</v>
      </c>
      <c r="D128" s="109"/>
      <c r="E128" s="108">
        <f>IF(C128=0," ",IF(C128=0,0,501-D128))</f>
        <v>501</v>
      </c>
      <c r="F128" s="103">
        <v>1</v>
      </c>
      <c r="G128" s="103"/>
      <c r="H128" s="211"/>
      <c r="I128" s="272"/>
      <c r="J128" s="105"/>
      <c r="K128" s="221">
        <v>3</v>
      </c>
      <c r="L128" s="109">
        <v>27</v>
      </c>
      <c r="M128" s="109">
        <v>3</v>
      </c>
      <c r="N128" s="108">
        <f>IF(L128=0," ",IF(L128=0,0,501-M128))</f>
        <v>498</v>
      </c>
      <c r="O128" s="410">
        <v>2</v>
      </c>
      <c r="P128" s="411"/>
      <c r="Q128" s="412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D128" s="86"/>
      <c r="AH128" s="86"/>
      <c r="AI128" s="86"/>
      <c r="AJ128" s="86"/>
      <c r="AK128" s="86"/>
    </row>
    <row r="129" spans="1:37" s="33" customFormat="1" ht="30" customHeight="1">
      <c r="A129" s="368"/>
      <c r="B129" s="221">
        <v>4</v>
      </c>
      <c r="C129" s="103">
        <v>30</v>
      </c>
      <c r="D129" s="109">
        <v>36</v>
      </c>
      <c r="E129" s="108">
        <f>IF(C129=0," ",IF(C129=0,0,501-D129))</f>
        <v>465</v>
      </c>
      <c r="F129" s="103"/>
      <c r="G129" s="103"/>
      <c r="H129" s="211"/>
      <c r="I129" s="272"/>
      <c r="J129" s="105"/>
      <c r="K129" s="221">
        <v>4</v>
      </c>
      <c r="L129" s="109">
        <v>30</v>
      </c>
      <c r="M129" s="109"/>
      <c r="N129" s="108">
        <f>IF(L129=0," ",IF(L129=0,0,501-M129))</f>
        <v>501</v>
      </c>
      <c r="O129" s="410"/>
      <c r="P129" s="411"/>
      <c r="Q129" s="412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D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>
        <v>24</v>
      </c>
      <c r="D130" s="109">
        <v>12</v>
      </c>
      <c r="E130" s="108">
        <f>IF(C130=0," ",IF(C130=0,0,501-D130))</f>
        <v>489</v>
      </c>
      <c r="F130" s="103">
        <v>1</v>
      </c>
      <c r="G130" s="103"/>
      <c r="H130" s="211"/>
      <c r="I130" s="272"/>
      <c r="J130" s="105"/>
      <c r="K130" s="221">
        <v>5</v>
      </c>
      <c r="L130" s="109">
        <v>26</v>
      </c>
      <c r="M130" s="109"/>
      <c r="N130" s="108">
        <f>IF(L130=0," ",IF(L130=0,0,501-M130))</f>
        <v>501</v>
      </c>
      <c r="O130" s="410">
        <v>1</v>
      </c>
      <c r="P130" s="411"/>
      <c r="Q130" s="412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D130" s="86"/>
      <c r="AH130" s="86"/>
      <c r="AI130" s="86"/>
      <c r="AJ130" s="86"/>
      <c r="AK130" s="86"/>
    </row>
    <row r="131" spans="1:28" s="86" customFormat="1" ht="27.75" customHeight="1" thickBot="1">
      <c r="A131" s="212"/>
      <c r="B131" s="94" t="s">
        <v>38</v>
      </c>
      <c r="C131" s="231">
        <f>COUNTIF(C126:C130,"&gt;0")</f>
        <v>5</v>
      </c>
      <c r="D131" s="231">
        <f>COUNTIF(D126:D130,"&gt;0")</f>
        <v>3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5</v>
      </c>
      <c r="M131" s="231">
        <f>COUNTIF(M126:M130,"&gt;0")</f>
        <v>2</v>
      </c>
      <c r="N131" s="213"/>
      <c r="O131" s="213"/>
      <c r="P131" s="213"/>
      <c r="Q131" s="213"/>
      <c r="R131" s="213"/>
      <c r="S131" s="216"/>
      <c r="T131" s="33"/>
      <c r="V131" s="305"/>
      <c r="AB131" s="305"/>
    </row>
    <row r="132" spans="1:28" s="86" customFormat="1" ht="15">
      <c r="A132" s="85"/>
      <c r="I132" s="93"/>
      <c r="J132" s="93"/>
      <c r="K132" s="93"/>
      <c r="L132" s="93"/>
      <c r="M132" s="93"/>
      <c r="T132" s="33"/>
      <c r="V132" s="305"/>
      <c r="AB132" s="305"/>
    </row>
    <row r="133" spans="1:28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</row>
    <row r="134" spans="1:28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</row>
    <row r="135" spans="1:28" s="86" customFormat="1" ht="15.75" thickBot="1">
      <c r="A135" s="85"/>
      <c r="I135" s="93"/>
      <c r="J135" s="93"/>
      <c r="K135" s="93"/>
      <c r="L135" s="93"/>
      <c r="M135" s="93"/>
      <c r="T135" s="33"/>
      <c r="V135" s="305"/>
      <c r="AB135" s="305"/>
    </row>
    <row r="136" spans="1:28" s="86" customFormat="1" ht="21.75" customHeight="1">
      <c r="A136" s="206"/>
      <c r="B136" s="207" t="s">
        <v>0</v>
      </c>
      <c r="C136" s="360" t="str">
        <f>C27</f>
        <v>Grönan DC 2</v>
      </c>
      <c r="D136" s="413"/>
      <c r="E136" s="413"/>
      <c r="F136" s="413"/>
      <c r="G136" s="413"/>
      <c r="H136" s="236">
        <f>IF(OR(H137="L",C136=0),0,1)</f>
        <v>1</v>
      </c>
      <c r="I136" s="217"/>
      <c r="J136" s="208"/>
      <c r="K136" s="209" t="s">
        <v>0</v>
      </c>
      <c r="L136" s="360" t="str">
        <f>J27</f>
        <v>Kukon Tikka 3</v>
      </c>
      <c r="M136" s="413"/>
      <c r="N136" s="413"/>
      <c r="O136" s="413"/>
      <c r="P136" s="413"/>
      <c r="Q136" s="414"/>
      <c r="R136" s="414"/>
      <c r="S136" s="232">
        <f>IF(OR(I137="L",L136=0),0,1)</f>
        <v>1</v>
      </c>
      <c r="T136" s="33"/>
      <c r="V136" s="305"/>
      <c r="AB136" s="305"/>
    </row>
    <row r="137" spans="1:28" s="86" customFormat="1" ht="15">
      <c r="A137" s="210"/>
      <c r="B137" s="44"/>
      <c r="C137" s="44"/>
      <c r="D137" s="44"/>
      <c r="E137" s="44"/>
      <c r="F137" s="44"/>
      <c r="G137" s="44"/>
      <c r="H137" s="250"/>
      <c r="I137" s="384"/>
      <c r="J137" s="38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</row>
    <row r="138" spans="1:28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7" t="s">
        <v>29</v>
      </c>
      <c r="P138" s="358"/>
      <c r="Q138" s="102"/>
      <c r="R138" s="100" t="s">
        <v>30</v>
      </c>
      <c r="S138" s="211"/>
      <c r="T138" s="33"/>
      <c r="V138" s="305"/>
      <c r="AB138" s="305"/>
    </row>
    <row r="139" spans="1:28" s="86" customFormat="1" ht="30.75" customHeight="1">
      <c r="A139" s="210"/>
      <c r="B139" s="221">
        <v>1</v>
      </c>
      <c r="C139" s="103"/>
      <c r="D139" s="109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72"/>
      <c r="J139" s="105"/>
      <c r="K139" s="221">
        <v>1</v>
      </c>
      <c r="L139" s="109"/>
      <c r="M139" s="109"/>
      <c r="N139" s="108" t="str">
        <f>IF(L139=0," ",IF(L139=0,0,501-M139))</f>
        <v> </v>
      </c>
      <c r="O139" s="410"/>
      <c r="P139" s="411"/>
      <c r="Q139" s="412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</row>
    <row r="140" spans="1:29" s="86" customFormat="1" ht="30.75" customHeight="1">
      <c r="A140" s="367" t="s">
        <v>24</v>
      </c>
      <c r="B140" s="221">
        <v>2</v>
      </c>
      <c r="C140" s="103"/>
      <c r="D140" s="109"/>
      <c r="E140" s="108" t="str">
        <f>IF(C140=0," ",IF(C140=0,0,501-D140))</f>
        <v> </v>
      </c>
      <c r="F140" s="103"/>
      <c r="G140" s="103"/>
      <c r="H140" s="211"/>
      <c r="I140" s="272"/>
      <c r="J140" s="105"/>
      <c r="K140" s="221">
        <v>2</v>
      </c>
      <c r="L140" s="109"/>
      <c r="M140" s="109"/>
      <c r="N140" s="108" t="str">
        <f>IF(L140=0," ",IF(L140=0,0,501-M140))</f>
        <v> </v>
      </c>
      <c r="O140" s="410"/>
      <c r="P140" s="411"/>
      <c r="Q140" s="412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</row>
    <row r="141" spans="1:29" s="86" customFormat="1" ht="30.75" customHeight="1">
      <c r="A141" s="368"/>
      <c r="B141" s="221">
        <v>3</v>
      </c>
      <c r="C141" s="103"/>
      <c r="D141" s="109"/>
      <c r="E141" s="108" t="str">
        <f>IF(C141=0," ",IF(C141=0,0,501-D141))</f>
        <v> </v>
      </c>
      <c r="F141" s="103"/>
      <c r="G141" s="103"/>
      <c r="H141" s="211"/>
      <c r="I141" s="272"/>
      <c r="J141" s="105"/>
      <c r="K141" s="221">
        <v>3</v>
      </c>
      <c r="L141" s="109"/>
      <c r="M141" s="109"/>
      <c r="N141" s="108" t="str">
        <f>IF(L141=0," ",IF(L141=0,0,501-M141))</f>
        <v> </v>
      </c>
      <c r="O141" s="410"/>
      <c r="P141" s="411"/>
      <c r="Q141" s="412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</row>
    <row r="142" spans="1:29" s="86" customFormat="1" ht="30.75" customHeight="1">
      <c r="A142" s="368"/>
      <c r="B142" s="221">
        <v>4</v>
      </c>
      <c r="C142" s="103"/>
      <c r="D142" s="109"/>
      <c r="E142" s="108" t="str">
        <f>IF(C142=0," ",IF(C142=0,0,501-D142))</f>
        <v> </v>
      </c>
      <c r="F142" s="103"/>
      <c r="G142" s="103"/>
      <c r="H142" s="211"/>
      <c r="I142" s="272">
        <f>IF(D142&gt;0,1,0)</f>
        <v>0</v>
      </c>
      <c r="J142" s="105"/>
      <c r="K142" s="221">
        <v>4</v>
      </c>
      <c r="L142" s="109"/>
      <c r="M142" s="109"/>
      <c r="N142" s="108" t="str">
        <f>IF(L142=0," ",IF(L142=0,0,501-M142))</f>
        <v> </v>
      </c>
      <c r="O142" s="410"/>
      <c r="P142" s="411"/>
      <c r="Q142" s="412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</row>
    <row r="143" spans="1:29" s="86" customFormat="1" ht="30.75" customHeight="1">
      <c r="A143" s="210"/>
      <c r="B143" s="221">
        <v>5</v>
      </c>
      <c r="C143" s="103"/>
      <c r="D143" s="109"/>
      <c r="E143" s="108" t="str">
        <f>IF(C143=0," ",IF(C143=0,0,501-D143))</f>
        <v> </v>
      </c>
      <c r="F143" s="103"/>
      <c r="G143" s="103"/>
      <c r="H143" s="211"/>
      <c r="I143" s="272">
        <f>IF(D143&gt;0,1,0)</f>
        <v>0</v>
      </c>
      <c r="J143" s="105"/>
      <c r="K143" s="221">
        <v>5</v>
      </c>
      <c r="L143" s="109"/>
      <c r="M143" s="109"/>
      <c r="N143" s="108" t="str">
        <f>IF(L143=0," ",IF(L143=0,0,501-M143))</f>
        <v> </v>
      </c>
      <c r="O143" s="410"/>
      <c r="P143" s="411"/>
      <c r="Q143" s="412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</row>
    <row r="144" spans="1:29" s="86" customFormat="1" ht="15.7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</row>
    <row r="145" spans="1:29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</row>
    <row r="146" spans="1:29" s="86" customFormat="1" ht="15">
      <c r="A146" s="44"/>
      <c r="B146" s="44"/>
      <c r="C146" s="44"/>
      <c r="D146" s="44"/>
      <c r="E146" s="44"/>
      <c r="F146" s="44"/>
      <c r="G146" s="44"/>
      <c r="H146" s="44"/>
      <c r="I146" s="105"/>
      <c r="J146" s="105"/>
      <c r="K146" s="105"/>
      <c r="L146" s="105"/>
      <c r="M146" s="105"/>
      <c r="N146" s="44"/>
      <c r="O146" s="44"/>
      <c r="P146" s="44"/>
      <c r="Q146" s="44"/>
      <c r="R146" s="44"/>
      <c r="S146" s="44"/>
      <c r="T146" s="44"/>
      <c r="U146" s="44"/>
      <c r="V146" s="306"/>
      <c r="W146" s="44"/>
      <c r="X146" s="44"/>
      <c r="Y146" s="44"/>
      <c r="Z146" s="33"/>
      <c r="AA146" s="33"/>
      <c r="AB146" s="305"/>
      <c r="AC146" s="33"/>
    </row>
    <row r="147" spans="1:37" s="33" customFormat="1" ht="161.25" customHeight="1">
      <c r="A147" s="262" t="s">
        <v>69</v>
      </c>
      <c r="B147" s="285"/>
      <c r="C147" s="285"/>
      <c r="D147" s="308" t="s">
        <v>27</v>
      </c>
      <c r="E147" s="308" t="s">
        <v>61</v>
      </c>
      <c r="F147" s="308" t="s">
        <v>58</v>
      </c>
      <c r="G147" s="308" t="s">
        <v>28</v>
      </c>
      <c r="H147" s="308" t="s">
        <v>8</v>
      </c>
      <c r="I147" s="308"/>
      <c r="J147" s="308" t="s">
        <v>60</v>
      </c>
      <c r="K147" s="308" t="s">
        <v>59</v>
      </c>
      <c r="L147" s="308" t="s">
        <v>39</v>
      </c>
      <c r="M147" s="308" t="s">
        <v>40</v>
      </c>
      <c r="N147" s="308" t="s">
        <v>41</v>
      </c>
      <c r="O147" s="308" t="s">
        <v>42</v>
      </c>
      <c r="P147" s="308"/>
      <c r="Q147" s="287"/>
      <c r="R147" s="285"/>
      <c r="S147" s="285"/>
      <c r="T147" s="285"/>
      <c r="U147" s="285"/>
      <c r="V147" s="285"/>
      <c r="W147" s="285"/>
      <c r="X147" s="285"/>
      <c r="Y147" s="285"/>
      <c r="AB147" s="305"/>
      <c r="AH147" s="86"/>
      <c r="AI147" s="86"/>
      <c r="AJ147" s="86"/>
      <c r="AK147" s="86"/>
    </row>
    <row r="148" spans="1:37" s="33" customFormat="1" ht="24.75" customHeight="1">
      <c r="A148" s="363" t="str">
        <f>C13</f>
        <v>Tobias Lindholm</v>
      </c>
      <c r="B148" s="364"/>
      <c r="C148" s="364"/>
      <c r="D148" s="288">
        <f>SUM(C56:C60,C96:C100)</f>
        <v>230</v>
      </c>
      <c r="E148" s="288">
        <f>SUM(C61,C101)</f>
        <v>9</v>
      </c>
      <c r="F148" s="288">
        <f>SUM(D61,D101)</f>
        <v>3</v>
      </c>
      <c r="G148" s="288">
        <f>SUM(D56:D60,D96:D100)</f>
        <v>61</v>
      </c>
      <c r="H148" s="366">
        <f>SUM(E56:E60,E96:E100)</f>
        <v>4448</v>
      </c>
      <c r="I148" s="366"/>
      <c r="J148" s="288">
        <f>SUM(H56,H96)</f>
        <v>2</v>
      </c>
      <c r="K148" s="288">
        <f>E148-F148</f>
        <v>6</v>
      </c>
      <c r="L148" s="288">
        <f>SUM(F56:F60,F96:F100)</f>
        <v>10</v>
      </c>
      <c r="M148" s="288">
        <f>SUM(G56:G60,G96:G100)</f>
        <v>0</v>
      </c>
      <c r="N148" s="289">
        <f>H148/D148</f>
        <v>19.339130434782607</v>
      </c>
      <c r="O148" s="365">
        <f>(L148+M148)/E148</f>
        <v>1.1111111111111112</v>
      </c>
      <c r="P148" s="365"/>
      <c r="Q148" s="365"/>
      <c r="R148" s="285"/>
      <c r="S148" s="285"/>
      <c r="T148" s="285"/>
      <c r="U148" s="285"/>
      <c r="V148" s="285"/>
      <c r="W148" s="285"/>
      <c r="X148" s="285"/>
      <c r="Y148" s="285"/>
      <c r="AH148" s="86"/>
      <c r="AI148" s="86"/>
      <c r="AJ148" s="86"/>
      <c r="AK148" s="86"/>
    </row>
    <row r="149" spans="1:37" s="33" customFormat="1" ht="24.75" customHeight="1">
      <c r="A149" s="363" t="str">
        <f>C14</f>
        <v>Tony Nyholm</v>
      </c>
      <c r="B149" s="364"/>
      <c r="C149" s="364"/>
      <c r="D149" s="288">
        <f>SUM(C66:C70,C106:C110)</f>
        <v>220</v>
      </c>
      <c r="E149" s="288">
        <f>SUM(C71,C111)</f>
        <v>8</v>
      </c>
      <c r="F149" s="288">
        <f>SUM(D71,D111)</f>
        <v>6</v>
      </c>
      <c r="G149" s="288">
        <f>SUM(D66:D70,D106:D110)</f>
        <v>426</v>
      </c>
      <c r="H149" s="366">
        <f>SUM(E66:E70,E106:E110)</f>
        <v>3582</v>
      </c>
      <c r="I149" s="366"/>
      <c r="J149" s="288">
        <f>SUM(H66,H106)</f>
        <v>0</v>
      </c>
      <c r="K149" s="288">
        <f aca="true" t="shared" si="4" ref="K149:K155">E149-F149</f>
        <v>2</v>
      </c>
      <c r="L149" s="288">
        <f>SUM(F66:F70,F106:F110)</f>
        <v>5</v>
      </c>
      <c r="M149" s="288">
        <f>SUM(G66:G70,G106:G110)</f>
        <v>0</v>
      </c>
      <c r="N149" s="289">
        <f aca="true" t="shared" si="5" ref="N149:N155">H149/D149</f>
        <v>16.28181818181818</v>
      </c>
      <c r="O149" s="365">
        <f aca="true" t="shared" si="6" ref="O149:O155">(L149+M149)/E149</f>
        <v>0.625</v>
      </c>
      <c r="P149" s="365"/>
      <c r="Q149" s="365"/>
      <c r="R149" s="285"/>
      <c r="S149" s="285"/>
      <c r="T149" s="285"/>
      <c r="U149" s="285"/>
      <c r="V149" s="285"/>
      <c r="W149" s="285"/>
      <c r="X149" s="285"/>
      <c r="Y149" s="285"/>
      <c r="AH149" s="86"/>
      <c r="AI149" s="86"/>
      <c r="AJ149" s="86"/>
      <c r="AK149" s="86"/>
    </row>
    <row r="150" spans="1:37" s="33" customFormat="1" ht="24.75" customHeight="1">
      <c r="A150" s="363" t="str">
        <f>C15</f>
        <v>Sakari Kinnunen</v>
      </c>
      <c r="B150" s="364"/>
      <c r="C150" s="364"/>
      <c r="D150" s="288">
        <f>SUM(C76:C80,C116:C120)</f>
        <v>168</v>
      </c>
      <c r="E150" s="288">
        <f>SUM(C81,C121)</f>
        <v>7</v>
      </c>
      <c r="F150" s="288">
        <f>SUM(D81,D121)</f>
        <v>1</v>
      </c>
      <c r="G150" s="288">
        <f>SUM(D76:D80,D116:D120)</f>
        <v>66</v>
      </c>
      <c r="H150" s="366">
        <f>SUM(E76:E80,E116:E120)</f>
        <v>3441</v>
      </c>
      <c r="I150" s="366"/>
      <c r="J150" s="288">
        <f>SUM(H76,H116)</f>
        <v>2</v>
      </c>
      <c r="K150" s="288">
        <f t="shared" si="4"/>
        <v>6</v>
      </c>
      <c r="L150" s="288">
        <f>SUM(F76:F80,F116:F120)</f>
        <v>8</v>
      </c>
      <c r="M150" s="288">
        <f>SUM(G76:G80,G116:G120)</f>
        <v>0</v>
      </c>
      <c r="N150" s="289">
        <f t="shared" si="5"/>
        <v>20.482142857142858</v>
      </c>
      <c r="O150" s="365">
        <f t="shared" si="6"/>
        <v>1.1428571428571428</v>
      </c>
      <c r="P150" s="365"/>
      <c r="Q150" s="365"/>
      <c r="R150" s="285"/>
      <c r="S150" s="285"/>
      <c r="T150" s="285"/>
      <c r="U150" s="285"/>
      <c r="V150" s="285"/>
      <c r="W150" s="285"/>
      <c r="X150" s="285"/>
      <c r="Y150" s="285"/>
      <c r="AH150" s="86"/>
      <c r="AI150" s="86"/>
      <c r="AJ150" s="86"/>
      <c r="AK150" s="86"/>
    </row>
    <row r="151" spans="1:37" s="33" customFormat="1" ht="24.75" customHeight="1">
      <c r="A151" s="363" t="str">
        <f>C16</f>
        <v>Mikael Nyholm</v>
      </c>
      <c r="B151" s="364"/>
      <c r="C151" s="364"/>
      <c r="D151" s="288">
        <f>SUM(C86:C90,C126:C130)</f>
        <v>333</v>
      </c>
      <c r="E151" s="288">
        <f>SUM(C91,C131)</f>
        <v>10</v>
      </c>
      <c r="F151" s="288">
        <f>SUM(D91,D131)</f>
        <v>6</v>
      </c>
      <c r="G151" s="288">
        <f>SUM(D86:D90,D126:D130)</f>
        <v>108</v>
      </c>
      <c r="H151" s="366">
        <f>SUM(E86:E90,E126:E130)</f>
        <v>4902</v>
      </c>
      <c r="I151" s="366"/>
      <c r="J151" s="288">
        <f>SUM(H86,H126)</f>
        <v>0</v>
      </c>
      <c r="K151" s="288">
        <f t="shared" si="4"/>
        <v>4</v>
      </c>
      <c r="L151" s="288">
        <f>SUM(F86:F90,F126:F130)</f>
        <v>8</v>
      </c>
      <c r="M151" s="288">
        <f>SUM(G86:G90,G126:G130)</f>
        <v>0</v>
      </c>
      <c r="N151" s="289">
        <f t="shared" si="5"/>
        <v>14.72072072072072</v>
      </c>
      <c r="O151" s="365">
        <f t="shared" si="6"/>
        <v>0.8</v>
      </c>
      <c r="P151" s="365"/>
      <c r="Q151" s="365"/>
      <c r="R151" s="285"/>
      <c r="S151" s="285"/>
      <c r="T151" s="285"/>
      <c r="U151" s="285"/>
      <c r="V151" s="285"/>
      <c r="W151" s="285"/>
      <c r="X151" s="285"/>
      <c r="Y151" s="285"/>
      <c r="AH151" s="86"/>
      <c r="AI151" s="86"/>
      <c r="AJ151" s="86"/>
      <c r="AK151" s="86"/>
    </row>
    <row r="152" spans="1:37" s="33" customFormat="1" ht="24.75" customHeight="1">
      <c r="A152" s="363" t="str">
        <f>O13</f>
        <v>Jyri Vesalainen</v>
      </c>
      <c r="B152" s="364"/>
      <c r="C152" s="364"/>
      <c r="D152" s="288">
        <f>IF($M$6="x",SUM(L56:L60,L116:L120),SUM(L66:L70,L96:L100))</f>
        <v>234</v>
      </c>
      <c r="E152" s="288">
        <f>IF($M$6="x",SUM(L61,L121),SUM(L71,L101))</f>
        <v>9</v>
      </c>
      <c r="F152" s="288">
        <f>IF($M$6="x",SUM(M61,M121),SUM(M71,M101))</f>
        <v>4</v>
      </c>
      <c r="G152" s="288">
        <f>IF($M$6="x",SUM(M56:M60,M116:M120),SUM(M66:M70,M96:M100))</f>
        <v>349</v>
      </c>
      <c r="H152" s="366">
        <f>IF($M$6="x",SUM(N56:N60,N116:N120),SUM(N66:N70,N96:N100))</f>
        <v>4160</v>
      </c>
      <c r="I152" s="366"/>
      <c r="J152" s="288">
        <f>IF($M$6="x",SUM(U56,U116),SUM(U66,U96))</f>
        <v>1</v>
      </c>
      <c r="K152" s="288">
        <f t="shared" si="4"/>
        <v>5</v>
      </c>
      <c r="L152" s="288">
        <f>IF($M$6="x",SUM(O56:Q60,O116:Q120),SUM(O66:Q70,O96:Q100))</f>
        <v>7</v>
      </c>
      <c r="M152" s="288">
        <f>IF($M$6="x",SUM(R56:R60,R116:R120),SUM(R66:R70,R96:R100))</f>
        <v>0</v>
      </c>
      <c r="N152" s="289">
        <f t="shared" si="5"/>
        <v>17.77777777777778</v>
      </c>
      <c r="O152" s="365">
        <f t="shared" si="6"/>
        <v>0.7777777777777778</v>
      </c>
      <c r="P152" s="365"/>
      <c r="Q152" s="365"/>
      <c r="R152" s="285"/>
      <c r="S152" s="285"/>
      <c r="T152" s="285"/>
      <c r="U152" s="285"/>
      <c r="V152" s="285"/>
      <c r="W152" s="285"/>
      <c r="X152" s="285"/>
      <c r="Y152" s="285"/>
      <c r="AH152" s="86"/>
      <c r="AI152" s="86"/>
      <c r="AJ152" s="86"/>
      <c r="AK152" s="86"/>
    </row>
    <row r="153" spans="1:37" s="33" customFormat="1" ht="24.75" customHeight="1">
      <c r="A153" s="363" t="str">
        <f>O14</f>
        <v>Olli-Pekka Kallioniemi</v>
      </c>
      <c r="B153" s="364"/>
      <c r="C153" s="364"/>
      <c r="D153" s="288">
        <f>IF($M$6="x",SUM(L66:L70,L96:L100),SUM(L56:L60,L106:L110))</f>
        <v>215</v>
      </c>
      <c r="E153" s="288">
        <f>IF($M$6="x",SUM(L71,L101),SUM(L61,L111))</f>
        <v>8</v>
      </c>
      <c r="F153" s="288">
        <f>IF($M$6="x",SUM(M71,M101),SUM(M61,M111))</f>
        <v>4</v>
      </c>
      <c r="G153" s="288">
        <f>IF($M$6="x",SUM(M66:M70,M96:M100),SUM(M56:M60,M106:M110))</f>
        <v>340</v>
      </c>
      <c r="H153" s="366">
        <f>IF($M$6="x",SUM(N66:N70,N96:N100),SUM(N56:N60,N106:N110))</f>
        <v>3668</v>
      </c>
      <c r="I153" s="366"/>
      <c r="J153" s="288">
        <f>IF($M$6="x",SUM(U66,U96),SUM(U56,U106))</f>
        <v>1</v>
      </c>
      <c r="K153" s="288">
        <f t="shared" si="4"/>
        <v>4</v>
      </c>
      <c r="L153" s="288">
        <f>IF($M$6="x",SUM(O66:Q70,O96:Q100),SUM(O56:Q60,O106:Q110))</f>
        <v>7</v>
      </c>
      <c r="M153" s="288">
        <f>IF($M$6="x",SUM(R66:R70,R96:R100),SUM(R56:R60,R106:R110))</f>
        <v>0</v>
      </c>
      <c r="N153" s="289">
        <f t="shared" si="5"/>
        <v>17.06046511627907</v>
      </c>
      <c r="O153" s="365">
        <f t="shared" si="6"/>
        <v>0.875</v>
      </c>
      <c r="P153" s="365"/>
      <c r="Q153" s="365"/>
      <c r="R153" s="285"/>
      <c r="S153" s="285"/>
      <c r="T153" s="285"/>
      <c r="U153" s="285"/>
      <c r="V153" s="285"/>
      <c r="W153" s="285"/>
      <c r="X153" s="285"/>
      <c r="Y153" s="285"/>
      <c r="AH153" s="86"/>
      <c r="AI153" s="86"/>
      <c r="AJ153" s="86"/>
      <c r="AK153" s="86"/>
    </row>
    <row r="154" spans="1:37" s="33" customFormat="1" ht="24.75" customHeight="1">
      <c r="A154" s="363" t="str">
        <f>O15</f>
        <v>Kari Laine</v>
      </c>
      <c r="B154" s="364"/>
      <c r="C154" s="364"/>
      <c r="D154" s="288">
        <f>IF($M$6="x",SUM(L76:L80,L106:L110),SUM(L86:L90,L116:L120))</f>
        <v>280</v>
      </c>
      <c r="E154" s="288">
        <f>IF($M$6="x",SUM(L81,L111),SUM(L91,L121))</f>
        <v>9</v>
      </c>
      <c r="F154" s="288">
        <f>IF($M$6="x",SUM(M81,M111),SUM(M91,M121))</f>
        <v>5</v>
      </c>
      <c r="G154" s="288">
        <f>IF($M$6="x",SUM(M76:M80,M106:M110),SUM(M86:M90,M116:M120))</f>
        <v>698</v>
      </c>
      <c r="H154" s="366">
        <f>IF($M$6="x",SUM(N76:N80,N106:N110),SUM(N86:N90,N116:N120))</f>
        <v>3811</v>
      </c>
      <c r="I154" s="366"/>
      <c r="J154" s="288">
        <f>IF($M$6="x",SUM(U76,U106),SUM(U86,U116))</f>
        <v>1</v>
      </c>
      <c r="K154" s="288">
        <f t="shared" si="4"/>
        <v>4</v>
      </c>
      <c r="L154" s="288">
        <f>IF($M$6="x",SUM(O76:Q80,O106:Q110),SUM(O86:Q90,O116:Q120))</f>
        <v>5</v>
      </c>
      <c r="M154" s="288">
        <f>IF($M$6="x",SUM(R76:R80,R106:R110),SUM(R86:R90,R116:R120))</f>
        <v>0</v>
      </c>
      <c r="N154" s="289">
        <f t="shared" si="5"/>
        <v>13.610714285714286</v>
      </c>
      <c r="O154" s="365">
        <f t="shared" si="6"/>
        <v>0.5555555555555556</v>
      </c>
      <c r="P154" s="365"/>
      <c r="Q154" s="365"/>
      <c r="R154" s="285"/>
      <c r="S154" s="285"/>
      <c r="T154" s="285"/>
      <c r="U154" s="285"/>
      <c r="V154" s="285"/>
      <c r="W154" s="285"/>
      <c r="X154" s="285"/>
      <c r="Y154" s="285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363" t="str">
        <f>O16</f>
        <v>Ari Heinonen</v>
      </c>
      <c r="B155" s="364"/>
      <c r="C155" s="364"/>
      <c r="D155" s="288">
        <f>IF($M$6="x",SUM(L86:L90,L126:L130),SUM(L76:L80,L126:L130))</f>
        <v>221</v>
      </c>
      <c r="E155" s="288">
        <f>IF($M$6="x",SUM(L91,L131),SUM(L81,L131))</f>
        <v>8</v>
      </c>
      <c r="F155" s="288">
        <f>IF($M$6="x",SUM(M91,M131),SUM(M81,M131))</f>
        <v>5</v>
      </c>
      <c r="G155" s="288">
        <f>IF($M$6="x",SUM(M86:M90,M126:M130),SUM(M76:M80,M126:M130))</f>
        <v>371</v>
      </c>
      <c r="H155" s="366">
        <f>IF($M$6="x",SUM(N86:N90,N126:N130),SUM(N76:N80,N126:N130))</f>
        <v>3637</v>
      </c>
      <c r="I155" s="366"/>
      <c r="J155" s="288">
        <f>IF($M$6="x",SUM(U86,U126),SUM(U76,U126))</f>
        <v>1</v>
      </c>
      <c r="K155" s="288">
        <f t="shared" si="4"/>
        <v>3</v>
      </c>
      <c r="L155" s="288">
        <f>IF($M$6="x",SUM(O86:Q90,O126:Q130),SUM(O76:Q80,O126:Q130))</f>
        <v>7</v>
      </c>
      <c r="M155" s="288">
        <f>IF($M$6="x",SUM(R86:R90,R126:R130),SUM(R76:R80,R126:R130))</f>
        <v>1</v>
      </c>
      <c r="N155" s="289">
        <f t="shared" si="5"/>
        <v>16.457013574660632</v>
      </c>
      <c r="O155" s="365">
        <f t="shared" si="6"/>
        <v>1</v>
      </c>
      <c r="P155" s="365"/>
      <c r="Q155" s="365"/>
      <c r="R155" s="285"/>
      <c r="S155" s="91"/>
      <c r="T155" s="285"/>
      <c r="U155" s="285"/>
      <c r="V155" s="285"/>
      <c r="W155" s="285"/>
      <c r="X155" s="285"/>
      <c r="Y155" s="285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91"/>
      <c r="B156" s="91"/>
      <c r="C156" s="91"/>
      <c r="D156" s="237"/>
      <c r="E156" s="91"/>
      <c r="F156" s="91"/>
      <c r="G156" s="91"/>
      <c r="H156" s="91"/>
      <c r="I156" s="238"/>
      <c r="J156" s="238"/>
      <c r="K156" s="238"/>
      <c r="L156" s="238"/>
      <c r="M156" s="238"/>
      <c r="N156" s="91"/>
      <c r="O156" s="91"/>
      <c r="P156" s="91"/>
      <c r="Q156" s="91"/>
      <c r="R156" s="91"/>
      <c r="S156" s="91"/>
      <c r="T156" s="285"/>
      <c r="U156" s="285"/>
      <c r="V156" s="285"/>
      <c r="W156" s="285"/>
      <c r="X156" s="285"/>
      <c r="Y156" s="285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91"/>
      <c r="B157" s="91"/>
      <c r="C157" s="91"/>
      <c r="D157" s="91"/>
      <c r="E157" s="91"/>
      <c r="F157" s="91"/>
      <c r="G157" s="91"/>
      <c r="H157" s="91"/>
      <c r="I157" s="238"/>
      <c r="J157" s="238"/>
      <c r="K157" s="238"/>
      <c r="L157" s="238"/>
      <c r="M157" s="238"/>
      <c r="N157" s="91"/>
      <c r="O157" s="91"/>
      <c r="P157" s="91"/>
      <c r="Q157" s="91"/>
      <c r="R157" s="91"/>
      <c r="S157" s="91"/>
      <c r="T157" s="285"/>
      <c r="U157" s="285"/>
      <c r="V157" s="285"/>
      <c r="W157" s="285"/>
      <c r="X157" s="285"/>
      <c r="Y157" s="285"/>
      <c r="Z157" s="44"/>
      <c r="AA157" s="158"/>
      <c r="AB157" s="44"/>
      <c r="AC157" s="44"/>
      <c r="AD157" s="85"/>
      <c r="AE157" s="85"/>
      <c r="AF157" s="85"/>
      <c r="AG157" s="85"/>
    </row>
    <row r="158" spans="1:33" s="86" customFormat="1" ht="15">
      <c r="A158" s="91"/>
      <c r="B158" s="91"/>
      <c r="C158" s="91"/>
      <c r="D158" s="91"/>
      <c r="E158" s="91"/>
      <c r="F158" s="91"/>
      <c r="G158" s="91"/>
      <c r="H158" s="91"/>
      <c r="I158" s="238"/>
      <c r="J158" s="238"/>
      <c r="K158" s="238"/>
      <c r="L158" s="238"/>
      <c r="M158" s="238"/>
      <c r="N158" s="91"/>
      <c r="O158" s="91"/>
      <c r="P158" s="91"/>
      <c r="Q158" s="91"/>
      <c r="R158" s="91"/>
      <c r="S158" s="91"/>
      <c r="T158" s="285"/>
      <c r="U158" s="285"/>
      <c r="V158" s="285"/>
      <c r="W158" s="285"/>
      <c r="X158" s="285"/>
      <c r="Y158" s="285"/>
      <c r="Z158" s="44"/>
      <c r="AA158" s="158"/>
      <c r="AB158" s="44"/>
      <c r="AC158" s="44"/>
      <c r="AD158" s="85"/>
      <c r="AE158" s="85"/>
      <c r="AF158" s="85"/>
      <c r="AG158" s="85"/>
    </row>
    <row r="159" spans="1:33" s="86" customFormat="1" ht="15">
      <c r="A159" s="85"/>
      <c r="I159" s="93"/>
      <c r="J159" s="93"/>
      <c r="K159" s="93"/>
      <c r="L159" s="93"/>
      <c r="M159" s="93"/>
      <c r="T159" s="33"/>
      <c r="U159" s="33"/>
      <c r="V159" s="33"/>
      <c r="W159" s="33"/>
      <c r="X159" s="33"/>
      <c r="Y159" s="44"/>
      <c r="Z159" s="44"/>
      <c r="AA159" s="158"/>
      <c r="AB159" s="44"/>
      <c r="AC159" s="44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T160" s="33"/>
      <c r="U160" s="33"/>
      <c r="V160" s="33"/>
      <c r="W160" s="33"/>
      <c r="X160" s="33"/>
      <c r="Y160" s="44"/>
      <c r="Z160" s="44"/>
      <c r="AA160" s="158"/>
      <c r="AB160" s="44"/>
      <c r="AC160" s="44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T161" s="33"/>
      <c r="U161" s="33"/>
      <c r="V161" s="33"/>
      <c r="W161" s="33"/>
      <c r="X161" s="33"/>
      <c r="Y161" s="44"/>
      <c r="Z161" s="44"/>
      <c r="AA161" s="158"/>
      <c r="AB161" s="44"/>
      <c r="AC161" s="44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T162" s="33"/>
      <c r="U162" s="33"/>
      <c r="V162" s="33"/>
      <c r="W162" s="33"/>
      <c r="X162" s="33"/>
      <c r="Y162" s="44"/>
      <c r="Z162" s="44"/>
      <c r="AA162" s="158"/>
      <c r="AB162" s="44"/>
      <c r="AC162" s="44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T163" s="33"/>
      <c r="U163" s="33"/>
      <c r="V163" s="33"/>
      <c r="W163" s="33"/>
      <c r="X163" s="33"/>
      <c r="Y163" s="44"/>
      <c r="Z163" s="44"/>
      <c r="AA163" s="158"/>
      <c r="AB163" s="44"/>
      <c r="AC163" s="44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T164" s="33"/>
      <c r="U164" s="33"/>
      <c r="V164" s="33"/>
      <c r="W164" s="33"/>
      <c r="X164" s="33"/>
      <c r="Y164" s="44"/>
      <c r="Z164" s="44"/>
      <c r="AA164" s="44"/>
      <c r="AB164" s="44"/>
      <c r="AC164" s="44"/>
      <c r="AD164" s="85"/>
      <c r="AE164" s="85"/>
      <c r="AF164" s="85"/>
      <c r="AG164" s="85"/>
    </row>
    <row r="165" spans="1:29" s="86" customFormat="1" ht="15">
      <c r="A165" s="85"/>
      <c r="I165" s="93"/>
      <c r="J165" s="93"/>
      <c r="K165" s="93"/>
      <c r="L165" s="93"/>
      <c r="M165" s="9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s="86" customFormat="1" ht="15">
      <c r="A166" s="85"/>
      <c r="I166" s="93"/>
      <c r="J166" s="93"/>
      <c r="K166" s="93"/>
      <c r="L166" s="93"/>
      <c r="M166" s="9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s="86" customFormat="1" ht="15">
      <c r="A167" s="85"/>
      <c r="I167" s="93"/>
      <c r="J167" s="93"/>
      <c r="K167" s="93"/>
      <c r="L167" s="93"/>
      <c r="M167" s="9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86" customFormat="1" ht="15">
      <c r="A168" s="85"/>
      <c r="I168" s="93"/>
      <c r="J168" s="93"/>
      <c r="K168" s="93"/>
      <c r="L168" s="93"/>
      <c r="M168" s="9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s="86" customFormat="1" ht="15">
      <c r="A169" s="85"/>
      <c r="I169" s="93"/>
      <c r="J169" s="93"/>
      <c r="K169" s="93"/>
      <c r="L169" s="93"/>
      <c r="M169" s="9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s="86" customFormat="1" ht="15">
      <c r="A170" s="85"/>
      <c r="I170" s="93"/>
      <c r="J170" s="93"/>
      <c r="K170" s="93"/>
      <c r="L170" s="93"/>
      <c r="M170" s="9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s="86" customFormat="1" ht="15">
      <c r="A171" s="85"/>
      <c r="I171" s="93"/>
      <c r="J171" s="93"/>
      <c r="K171" s="93"/>
      <c r="L171" s="93"/>
      <c r="M171" s="9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s="86" customFormat="1" ht="15">
      <c r="A172" s="85"/>
      <c r="I172" s="93"/>
      <c r="J172" s="93"/>
      <c r="K172" s="93"/>
      <c r="L172" s="93"/>
      <c r="M172" s="9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86" customFormat="1" ht="15">
      <c r="A173" s="85"/>
      <c r="I173" s="93"/>
      <c r="J173" s="93"/>
      <c r="K173" s="93"/>
      <c r="L173" s="93"/>
      <c r="M173" s="9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s="86" customFormat="1" ht="15">
      <c r="A174" s="85"/>
      <c r="I174" s="93"/>
      <c r="J174" s="93"/>
      <c r="K174" s="93"/>
      <c r="L174" s="93"/>
      <c r="M174" s="9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s="86" customFormat="1" ht="15">
      <c r="A175" s="85"/>
      <c r="I175" s="93"/>
      <c r="J175" s="93"/>
      <c r="K175" s="93"/>
      <c r="L175" s="93"/>
      <c r="M175" s="9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s="86" customFormat="1" ht="15">
      <c r="A176" s="85"/>
      <c r="I176" s="93"/>
      <c r="J176" s="93"/>
      <c r="K176" s="93"/>
      <c r="L176" s="93"/>
      <c r="M176" s="9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s="86" customFormat="1" ht="15">
      <c r="A177" s="85"/>
      <c r="I177" s="93"/>
      <c r="J177" s="93"/>
      <c r="K177" s="93"/>
      <c r="L177" s="93"/>
      <c r="M177" s="9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s="86" customFormat="1" ht="15">
      <c r="A178" s="85"/>
      <c r="I178" s="93"/>
      <c r="J178" s="93"/>
      <c r="K178" s="93"/>
      <c r="L178" s="93"/>
      <c r="M178" s="9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86" customFormat="1" ht="15">
      <c r="A179" s="85"/>
      <c r="I179" s="93"/>
      <c r="J179" s="93"/>
      <c r="K179" s="93"/>
      <c r="L179" s="93"/>
      <c r="M179" s="9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s="86" customFormat="1" ht="15">
      <c r="A180" s="85"/>
      <c r="I180" s="93"/>
      <c r="J180" s="93"/>
      <c r="K180" s="93"/>
      <c r="L180" s="93"/>
      <c r="M180" s="9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s="86" customFormat="1" ht="15">
      <c r="A181" s="85"/>
      <c r="I181" s="93"/>
      <c r="J181" s="93"/>
      <c r="K181" s="93"/>
      <c r="L181" s="93"/>
      <c r="M181" s="9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s="86" customFormat="1" ht="15">
      <c r="A182" s="85"/>
      <c r="I182" s="93"/>
      <c r="J182" s="93"/>
      <c r="K182" s="93"/>
      <c r="L182" s="93"/>
      <c r="M182" s="9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s="86" customFormat="1" ht="15">
      <c r="A183" s="85"/>
      <c r="I183" s="93"/>
      <c r="J183" s="93"/>
      <c r="K183" s="93"/>
      <c r="L183" s="93"/>
      <c r="M183" s="9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s="86" customFormat="1" ht="15">
      <c r="A184" s="85"/>
      <c r="I184" s="93"/>
      <c r="J184" s="93"/>
      <c r="K184" s="93"/>
      <c r="L184" s="93"/>
      <c r="M184" s="9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</sheetData>
  <sheetProtection password="C5B2" sheet="1" objects="1" scenarios="1" selectLockedCells="1"/>
  <mergeCells count="168">
    <mergeCell ref="O143:Q143"/>
    <mergeCell ref="I137:J137"/>
    <mergeCell ref="O138:P138"/>
    <mergeCell ref="O139:Q139"/>
    <mergeCell ref="A140:A142"/>
    <mergeCell ref="O140:Q140"/>
    <mergeCell ref="O141:Q141"/>
    <mergeCell ref="O142:Q142"/>
    <mergeCell ref="I64:J64"/>
    <mergeCell ref="I74:J74"/>
    <mergeCell ref="I84:J84"/>
    <mergeCell ref="I94:J94"/>
    <mergeCell ref="I104:J104"/>
    <mergeCell ref="I114:J114"/>
    <mergeCell ref="O13:AE13"/>
    <mergeCell ref="O14:AE14"/>
    <mergeCell ref="O15:AE15"/>
    <mergeCell ref="O16:AE16"/>
    <mergeCell ref="AF13:AG13"/>
    <mergeCell ref="AF14:AG14"/>
    <mergeCell ref="AF15:AG15"/>
    <mergeCell ref="AF16:AG16"/>
    <mergeCell ref="C13:L13"/>
    <mergeCell ref="C14:L14"/>
    <mergeCell ref="C15:L15"/>
    <mergeCell ref="C16:L16"/>
    <mergeCell ref="C26:H26"/>
    <mergeCell ref="C27:H27"/>
    <mergeCell ref="C21:H21"/>
    <mergeCell ref="L113:R113"/>
    <mergeCell ref="O127:Q127"/>
    <mergeCell ref="O128:Q128"/>
    <mergeCell ref="O96:Q96"/>
    <mergeCell ref="O97:Q97"/>
    <mergeCell ref="O129:Q129"/>
    <mergeCell ref="O118:Q118"/>
    <mergeCell ref="O119:Q119"/>
    <mergeCell ref="O115:P115"/>
    <mergeCell ref="L93:R93"/>
    <mergeCell ref="O110:Q110"/>
    <mergeCell ref="O116:Q116"/>
    <mergeCell ref="O117:Q117"/>
    <mergeCell ref="O57:Q57"/>
    <mergeCell ref="O58:Q58"/>
    <mergeCell ref="L73:R73"/>
    <mergeCell ref="O87:Q87"/>
    <mergeCell ref="O76:Q76"/>
    <mergeCell ref="O77:Q77"/>
    <mergeCell ref="O86:Q86"/>
    <mergeCell ref="O78:Q78"/>
    <mergeCell ref="O85:P85"/>
    <mergeCell ref="H148:I148"/>
    <mergeCell ref="O148:Q148"/>
    <mergeCell ref="A87:A89"/>
    <mergeCell ref="A97:A99"/>
    <mergeCell ref="A107:A109"/>
    <mergeCell ref="A117:A119"/>
    <mergeCell ref="A127:A129"/>
    <mergeCell ref="O88:Q88"/>
    <mergeCell ref="O89:Q89"/>
    <mergeCell ref="O90:Q90"/>
    <mergeCell ref="A148:C148"/>
    <mergeCell ref="A149:C149"/>
    <mergeCell ref="O125:P125"/>
    <mergeCell ref="O126:Q126"/>
    <mergeCell ref="C103:G103"/>
    <mergeCell ref="C93:G93"/>
    <mergeCell ref="O95:P95"/>
    <mergeCell ref="AF11:AG12"/>
    <mergeCell ref="H149:I149"/>
    <mergeCell ref="O149:Q149"/>
    <mergeCell ref="L83:R83"/>
    <mergeCell ref="L103:R103"/>
    <mergeCell ref="L123:R123"/>
    <mergeCell ref="O109:Q109"/>
    <mergeCell ref="O98:Q98"/>
    <mergeCell ref="O99:Q99"/>
    <mergeCell ref="O100:Q100"/>
    <mergeCell ref="H150:I150"/>
    <mergeCell ref="H151:I151"/>
    <mergeCell ref="A150:C150"/>
    <mergeCell ref="A151:C151"/>
    <mergeCell ref="C123:G123"/>
    <mergeCell ref="O120:Q120"/>
    <mergeCell ref="O130:Q130"/>
    <mergeCell ref="I124:J124"/>
    <mergeCell ref="C136:G136"/>
    <mergeCell ref="L136:R136"/>
    <mergeCell ref="H152:I152"/>
    <mergeCell ref="A152:C152"/>
    <mergeCell ref="O105:P105"/>
    <mergeCell ref="O106:Q106"/>
    <mergeCell ref="O107:Q107"/>
    <mergeCell ref="O108:Q108"/>
    <mergeCell ref="O152:Q152"/>
    <mergeCell ref="O150:Q150"/>
    <mergeCell ref="O151:Q151"/>
    <mergeCell ref="C113:G113"/>
    <mergeCell ref="Y8:AB8"/>
    <mergeCell ref="O59:Q59"/>
    <mergeCell ref="O60:Q60"/>
    <mergeCell ref="O66:Q66"/>
    <mergeCell ref="O67:Q67"/>
    <mergeCell ref="B34:AG34"/>
    <mergeCell ref="B31:I31"/>
    <mergeCell ref="O56:Q56"/>
    <mergeCell ref="O55:P55"/>
    <mergeCell ref="M11:M12"/>
    <mergeCell ref="O4:P4"/>
    <mergeCell ref="S8:T8"/>
    <mergeCell ref="V8:W8"/>
    <mergeCell ref="U5:V5"/>
    <mergeCell ref="R5:T5"/>
    <mergeCell ref="F8:M8"/>
    <mergeCell ref="U6:V6"/>
    <mergeCell ref="R6:T6"/>
    <mergeCell ref="O9:AF9"/>
    <mergeCell ref="B40:M41"/>
    <mergeCell ref="O40:AG41"/>
    <mergeCell ref="J20:O20"/>
    <mergeCell ref="J21:O21"/>
    <mergeCell ref="C22:H22"/>
    <mergeCell ref="C23:H23"/>
    <mergeCell ref="C24:H24"/>
    <mergeCell ref="W31:Z31"/>
    <mergeCell ref="AB31:AE31"/>
    <mergeCell ref="B36:AG36"/>
    <mergeCell ref="C63:G63"/>
    <mergeCell ref="J25:O25"/>
    <mergeCell ref="J26:O26"/>
    <mergeCell ref="J27:O27"/>
    <mergeCell ref="L53:R53"/>
    <mergeCell ref="L63:R63"/>
    <mergeCell ref="C53:G53"/>
    <mergeCell ref="I54:J54"/>
    <mergeCell ref="H154:I154"/>
    <mergeCell ref="A154:C154"/>
    <mergeCell ref="H153:I153"/>
    <mergeCell ref="A153:C153"/>
    <mergeCell ref="O153:Q153"/>
    <mergeCell ref="O154:Q154"/>
    <mergeCell ref="AB18:AG18"/>
    <mergeCell ref="K31:U31"/>
    <mergeCell ref="J19:O19"/>
    <mergeCell ref="J23:O23"/>
    <mergeCell ref="J24:O24"/>
    <mergeCell ref="J22:O22"/>
    <mergeCell ref="O28:P28"/>
    <mergeCell ref="A155:C155"/>
    <mergeCell ref="O155:Q155"/>
    <mergeCell ref="H155:I155"/>
    <mergeCell ref="A57:A59"/>
    <mergeCell ref="A67:A69"/>
    <mergeCell ref="A77:A79"/>
    <mergeCell ref="O68:Q68"/>
    <mergeCell ref="O65:P65"/>
    <mergeCell ref="C83:G83"/>
    <mergeCell ref="O80:Q80"/>
    <mergeCell ref="B9:M9"/>
    <mergeCell ref="O79:Q79"/>
    <mergeCell ref="O70:Q70"/>
    <mergeCell ref="O75:P75"/>
    <mergeCell ref="O69:Q69"/>
    <mergeCell ref="C25:H25"/>
    <mergeCell ref="C73:G73"/>
    <mergeCell ref="B35:AG35"/>
    <mergeCell ref="C19:H19"/>
    <mergeCell ref="C20:H20"/>
  </mergeCells>
  <conditionalFormatting sqref="S26 A123:A131 C123:S131 B123:B130 A121 A16:AG16 A83:A91 C83:S91 B83:B90 B81 U26:AG26 A26:Q26 U22:AG22 A22:Q22 S22">
    <cfRule type="expression" priority="50" dxfId="1" stopIfTrue="1">
      <formula>$M$6="x"</formula>
    </cfRule>
  </conditionalFormatting>
  <conditionalFormatting sqref="R19 T19">
    <cfRule type="expression" priority="34" dxfId="0" stopIfTrue="1">
      <formula>SUM($V$19:$Z$19,$AB$19:$AF$19)=0</formula>
    </cfRule>
  </conditionalFormatting>
  <conditionalFormatting sqref="R20 T20">
    <cfRule type="expression" priority="32" dxfId="0" stopIfTrue="1">
      <formula>SUM($V$20:$Z$20,$AB$20:$AF$20)=0</formula>
    </cfRule>
  </conditionalFormatting>
  <conditionalFormatting sqref="R21 T21">
    <cfRule type="expression" priority="31" dxfId="0" stopIfTrue="1">
      <formula>SUM($V$21:$Z$21,$AB$21:$AF$21)=0</formula>
    </cfRule>
  </conditionalFormatting>
  <conditionalFormatting sqref="R22 T22">
    <cfRule type="expression" priority="30" dxfId="0" stopIfTrue="1">
      <formula>SUM($V$22:$Z$22,$AB$22:$AF$22)=0</formula>
    </cfRule>
  </conditionalFormatting>
  <conditionalFormatting sqref="R23 T23">
    <cfRule type="expression" priority="29" dxfId="0" stopIfTrue="1">
      <formula>SUM($V$23:$Z$23,$AB$23:$AF$23)=0</formula>
    </cfRule>
  </conditionalFormatting>
  <conditionalFormatting sqref="R24 T24">
    <cfRule type="expression" priority="28" dxfId="0" stopIfTrue="1">
      <formula>SUM($V$24:$Z$24,$AB$24:$AF$24)=0</formula>
    </cfRule>
  </conditionalFormatting>
  <conditionalFormatting sqref="R25 T25">
    <cfRule type="expression" priority="27" dxfId="0" stopIfTrue="1">
      <formula>SUM($V$25:$Z$25,$AB$25:$AF$25)=0</formula>
    </cfRule>
  </conditionalFormatting>
  <conditionalFormatting sqref="R26 T26">
    <cfRule type="expression" priority="26" dxfId="0" stopIfTrue="1">
      <formula>SUM($V$26:$Z$26,$AB$26:$AF$26)=0</formula>
    </cfRule>
  </conditionalFormatting>
  <conditionalFormatting sqref="R28 T28 W31:Z31 AB31:AE31">
    <cfRule type="expression" priority="9" dxfId="0" stopIfTrue="1">
      <formula>SUM($R$19:$R$26,$T$19:$T$26)=0</formula>
    </cfRule>
  </conditionalFormatting>
  <conditionalFormatting sqref="R27 T27">
    <cfRule type="expression" priority="5" dxfId="0" stopIfTrue="1">
      <formula>SUM($V$27:$Z$27,$AB$27:$AF$27)=0</formula>
    </cfRule>
  </conditionalFormatting>
  <conditionalFormatting sqref="A27:P27 U27:AG27 S27 A136:S144">
    <cfRule type="expression" priority="3" dxfId="1" stopIfTrue="1">
      <formula>$G$4&lt;&gt;"x"</formula>
    </cfRule>
  </conditionalFormatting>
  <dataValidations count="12">
    <dataValidation type="whole" allowBlank="1" showErrorMessage="1" errorTitle="Väärä arvo" error="Anna arvo välillä 6 - 200" sqref="C139:C143 L139:L143 L126:L130 L56:L60 C66:C70 L66:L70 C76:C80 L76:L80 C86:C90 L86:L90 C96:C100 L96:L100 C106:C110 L106:L110 C116:C120 L116:L120 C126:C130 C57:C60">
      <formula1>6</formula1>
      <formula2>200</formula2>
    </dataValidation>
    <dataValidation type="custom" allowBlank="1" showErrorMessage="1" errorTitle="Väärä arvo" error="Tarkista vastustajan &quot;JÄI&quot;-sarake !!!" sqref="M139">
      <formula1>($D$139=0)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3">
      <formula1>($D$144=0)</formula1>
    </dataValidation>
    <dataValidation type="whole" allowBlank="1" showErrorMessage="1" errorTitle="Väärä arvo" error="anna arvo välillä 1 - 10 tai jätä tyhjäksi!" sqref="O139:R143 G66:G70 G57:G60 R56:R6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3 C15:L16">
      <formula1>$AO$10:$AO$17</formula1>
    </dataValidation>
    <dataValidation type="list" allowBlank="1" showInputMessage="1" showErrorMessage="1" sqref="C14:L14">
      <formula1>$AO$10:$AO$18</formula1>
    </dataValidation>
    <dataValidation type="list" allowBlank="1" showInputMessage="1" showErrorMessage="1" sqref="O13:AE16">
      <formula1>$AR$10:$AR$17</formula1>
    </dataValidation>
    <dataValidation allowBlank="1" showInputMessage="1" sqref="C56 D56:D60 D66:D70 F56:F60 F66:F70 M56:M60 M66:M70 O56:Q60 O66:Q70 D76:D80 F76:F80 M76:M80 O76:Q80 D86:D90 F86:F90 M86:M90 O86:Q90 D96:D100 F96:F100 M96:M100 O96:Q100 D106:D110 F106:F110 M106:M110 O106:Q110 D116:D120 F116:F120 M116:M120 O116:Q120 D126:E130 F126:F130 M126:M130 O126:Q130 E126 E127 E126 E126 E127 E128"/>
    <dataValidation type="whole" allowBlank="1" errorTitle="Väärä arvo" error="anna arvo välillä 1 - 10 tai jätä tyhjäksi!" sqref="G56">
      <formula1>1</formula1>
      <formula2>10</formula2>
    </dataValidation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1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T184"/>
  <sheetViews>
    <sheetView showGridLines="0" showRowColHeaders="0" zoomScale="85" zoomScaleNormal="85" zoomScalePageLayoutView="55" workbookViewId="0" topLeftCell="A1">
      <selection activeCell="G128" sqref="G128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5" width="4.0039062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59"/>
      <c r="I4" s="6"/>
      <c r="J4" s="60"/>
      <c r="K4" s="60"/>
      <c r="L4" s="60"/>
      <c r="M4" s="60"/>
      <c r="N4" s="59"/>
      <c r="O4" s="397"/>
      <c r="P4" s="398"/>
      <c r="Q4" s="64"/>
      <c r="R4" s="6"/>
      <c r="S4" s="6"/>
      <c r="T4" s="6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20</v>
      </c>
      <c r="M5" s="171" t="str">
        <f>IF(tilasto!E5=0,"",tilasto!E5)</f>
        <v>x</v>
      </c>
      <c r="N5" s="271">
        <f>IF(M5="x",COUNTA(C13:L16,O13:AE16),"-")</f>
        <v>8</v>
      </c>
      <c r="O5" s="70"/>
      <c r="P5" s="69"/>
      <c r="Q5" s="69"/>
      <c r="R5" s="431" t="s">
        <v>23</v>
      </c>
      <c r="S5" s="432"/>
      <c r="T5" s="433"/>
      <c r="U5" s="400">
        <f>IF(tilasto!$H$5=0,"",tilasto!$H$5)</f>
        <v>5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21</v>
      </c>
      <c r="M6" s="171">
        <f>IF(tilasto!E6=0,"",tilasto!E6)</f>
      </c>
      <c r="N6" s="271" t="str">
        <f>IF(M6="x",COUNTA(C13:L15,O13:AE15),"-")</f>
        <v>-</v>
      </c>
      <c r="O6" s="70"/>
      <c r="P6" s="69"/>
      <c r="Q6" s="69"/>
      <c r="R6" s="431" t="s">
        <v>6</v>
      </c>
      <c r="S6" s="432"/>
      <c r="T6" s="433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6"/>
      <c r="S7" s="6"/>
      <c r="T7" s="6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Grönan, Hanko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9">
        <f>IF(tilasto!$G$8=0,"",tilasto!$G$8)</f>
        <v>11</v>
      </c>
      <c r="T8" s="399"/>
      <c r="U8" s="80" t="s">
        <v>19</v>
      </c>
      <c r="V8" s="399">
        <f>IF(tilasto!$I$8=0,"",tilasto!$I$8)</f>
        <v>1</v>
      </c>
      <c r="W8" s="399"/>
      <c r="X8" s="80" t="s">
        <v>19</v>
      </c>
      <c r="Y8" s="399">
        <f>IF(tilasto!$K$8=0,"",tilasto!$K$8)</f>
        <v>2020</v>
      </c>
      <c r="Z8" s="407"/>
      <c r="AA8" s="407"/>
      <c r="AB8" s="407"/>
      <c r="AC8" s="34"/>
      <c r="AD8" s="34"/>
      <c r="AE8" s="34"/>
      <c r="AF8" s="34"/>
      <c r="AG8" s="7"/>
      <c r="AH8" s="86"/>
      <c r="AI8" s="86"/>
      <c r="AJ8" s="86"/>
      <c r="AK8" s="86"/>
    </row>
    <row r="9" spans="1:46" s="5" customFormat="1" ht="42" customHeight="1">
      <c r="A9" s="79"/>
      <c r="B9" s="351" t="str">
        <f>IF(tilasto!A22=0,"",tilasto!A22)</f>
        <v>Kukon Tikka 3</v>
      </c>
      <c r="C9" s="352"/>
      <c r="D9" s="352"/>
      <c r="E9" s="352"/>
      <c r="F9" s="352"/>
      <c r="G9" s="352"/>
      <c r="H9" s="352"/>
      <c r="I9" s="352"/>
      <c r="J9" s="352"/>
      <c r="K9" s="353"/>
      <c r="L9" s="353"/>
      <c r="M9" s="353"/>
      <c r="N9" s="79"/>
      <c r="O9" s="351" t="str">
        <f>IF(tilasto!A35=0,"",tilasto!A35)</f>
        <v>Satatikka 2</v>
      </c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203"/>
      <c r="AH9" s="87"/>
      <c r="AI9" s="87"/>
      <c r="AJ9" s="87"/>
      <c r="AK9" s="87"/>
      <c r="AN9" s="312"/>
      <c r="AO9" s="320" t="s">
        <v>80</v>
      </c>
      <c r="AP9" s="312"/>
      <c r="AQ9" s="312"/>
      <c r="AR9" s="320" t="s">
        <v>48</v>
      </c>
      <c r="AS9" s="312"/>
      <c r="AT9" s="329"/>
    </row>
    <row r="10" spans="1:46" s="5" customFormat="1" ht="15" customHeight="1">
      <c r="A10" s="6"/>
      <c r="B10" s="7" t="s">
        <v>48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49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N10" s="312"/>
      <c r="AO10" s="320" t="str">
        <f>IF(tilasto!A38=0,"",tilasto!A38)</f>
        <v>Rami Mondolin</v>
      </c>
      <c r="AP10" s="312"/>
      <c r="AQ10" s="312"/>
      <c r="AR10" s="320" t="str">
        <f>IF(tilasto!A25=0,"",tilasto!A25)</f>
        <v>Jyri Vesalainen</v>
      </c>
      <c r="AS10" s="312"/>
      <c r="AT10" s="329"/>
    </row>
    <row r="11" spans="1:46" ht="15.7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408" t="s">
        <v>25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08" t="s">
        <v>25</v>
      </c>
      <c r="AG11" s="415"/>
      <c r="AH11" s="88"/>
      <c r="AI11" s="88"/>
      <c r="AJ11" s="88"/>
      <c r="AK11" s="88"/>
      <c r="AN11" s="58"/>
      <c r="AO11" s="320" t="str">
        <f>IF(tilasto!A39=0,"",tilasto!A39)</f>
        <v>Jouni I. Kataja</v>
      </c>
      <c r="AP11" s="58"/>
      <c r="AQ11" s="58"/>
      <c r="AR11" s="320" t="str">
        <f>IF(tilasto!A26=0,"",tilasto!A26)</f>
        <v>Olli-Pekka Kallioniemi</v>
      </c>
      <c r="AS11" s="58"/>
      <c r="AT11" s="331"/>
    </row>
    <row r="12" spans="2:46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409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09" t="s">
        <v>25</v>
      </c>
      <c r="AG12" s="416"/>
      <c r="AN12" s="58"/>
      <c r="AO12" s="320" t="str">
        <f>IF(tilasto!A40=0,"",tilasto!A40)</f>
        <v>Tomi Aaltonen</v>
      </c>
      <c r="AP12" s="58"/>
      <c r="AQ12" s="58"/>
      <c r="AR12" s="320" t="str">
        <f>IF(tilasto!A27=0,"",tilasto!A27)</f>
        <v>Kari Laine</v>
      </c>
      <c r="AS12" s="58"/>
      <c r="AT12" s="331"/>
    </row>
    <row r="13" spans="2:46" ht="30" customHeight="1">
      <c r="B13" s="8">
        <v>1</v>
      </c>
      <c r="C13" s="417" t="s">
        <v>107</v>
      </c>
      <c r="D13" s="418"/>
      <c r="E13" s="418"/>
      <c r="F13" s="418"/>
      <c r="G13" s="418"/>
      <c r="H13" s="418"/>
      <c r="I13" s="418"/>
      <c r="J13" s="418"/>
      <c r="K13" s="418"/>
      <c r="L13" s="419"/>
      <c r="M13" s="32"/>
      <c r="N13" s="7">
        <v>1</v>
      </c>
      <c r="O13" s="424" t="s">
        <v>111</v>
      </c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6"/>
      <c r="AF13" s="430" t="s">
        <v>10</v>
      </c>
      <c r="AG13" s="422"/>
      <c r="AN13" s="58"/>
      <c r="AO13" s="320" t="str">
        <f>IF(tilasto!A41=0,"",tilasto!A41)</f>
        <v>Seppo Makkonen</v>
      </c>
      <c r="AP13" s="58"/>
      <c r="AQ13" s="58"/>
      <c r="AR13" s="320" t="str">
        <f>IF(tilasto!A28=0,"",tilasto!A28)</f>
        <v>Ari Heinonen</v>
      </c>
      <c r="AS13" s="58"/>
      <c r="AT13" s="331"/>
    </row>
    <row r="14" spans="2:46" ht="30" customHeight="1">
      <c r="B14" s="9">
        <v>2</v>
      </c>
      <c r="C14" s="420" t="s">
        <v>108</v>
      </c>
      <c r="D14" s="421"/>
      <c r="E14" s="421"/>
      <c r="F14" s="421"/>
      <c r="G14" s="421"/>
      <c r="H14" s="421"/>
      <c r="I14" s="421"/>
      <c r="J14" s="421"/>
      <c r="K14" s="421"/>
      <c r="L14" s="422"/>
      <c r="M14" s="32" t="s">
        <v>10</v>
      </c>
      <c r="N14" s="7">
        <v>2</v>
      </c>
      <c r="O14" s="427" t="s">
        <v>114</v>
      </c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9"/>
      <c r="AF14" s="430"/>
      <c r="AG14" s="422"/>
      <c r="AN14" s="58"/>
      <c r="AO14" s="320">
        <f>IF(tilasto!A42=0,"",tilasto!A42)</f>
      </c>
      <c r="AP14" s="58"/>
      <c r="AQ14" s="58"/>
      <c r="AR14" s="320">
        <f>IF(tilasto!A29=0,"",tilasto!A29)</f>
      </c>
      <c r="AS14" s="58"/>
      <c r="AT14" s="331"/>
    </row>
    <row r="15" spans="2:46" ht="30" customHeight="1">
      <c r="B15" s="9">
        <v>3</v>
      </c>
      <c r="C15" s="420" t="s">
        <v>109</v>
      </c>
      <c r="D15" s="421"/>
      <c r="E15" s="421"/>
      <c r="F15" s="421"/>
      <c r="G15" s="421"/>
      <c r="H15" s="421"/>
      <c r="I15" s="421"/>
      <c r="J15" s="421"/>
      <c r="K15" s="421"/>
      <c r="L15" s="422"/>
      <c r="M15" s="32"/>
      <c r="N15" s="7">
        <v>3</v>
      </c>
      <c r="O15" s="427" t="s">
        <v>112</v>
      </c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9"/>
      <c r="AF15" s="430"/>
      <c r="AG15" s="422"/>
      <c r="AN15" s="58"/>
      <c r="AO15" s="320">
        <f>IF(tilasto!A43=0,"",tilasto!A43)</f>
      </c>
      <c r="AP15" s="58"/>
      <c r="AQ15" s="58"/>
      <c r="AR15" s="320">
        <f>IF(tilasto!A30=0,"",tilasto!A30)</f>
      </c>
      <c r="AS15" s="58"/>
      <c r="AT15" s="331"/>
    </row>
    <row r="16" spans="2:46" ht="30" customHeight="1">
      <c r="B16" s="9">
        <v>4</v>
      </c>
      <c r="C16" s="420" t="s">
        <v>110</v>
      </c>
      <c r="D16" s="421"/>
      <c r="E16" s="421"/>
      <c r="F16" s="421"/>
      <c r="G16" s="421"/>
      <c r="H16" s="421"/>
      <c r="I16" s="421"/>
      <c r="J16" s="421"/>
      <c r="K16" s="421"/>
      <c r="L16" s="422"/>
      <c r="M16" s="32"/>
      <c r="N16" s="7">
        <v>4</v>
      </c>
      <c r="O16" s="427" t="s">
        <v>113</v>
      </c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9"/>
      <c r="AF16" s="430"/>
      <c r="AG16" s="422"/>
      <c r="AN16" s="58"/>
      <c r="AO16" s="320">
        <f>IF(tilasto!A44=0,"",tilasto!A44)</f>
      </c>
      <c r="AP16" s="58"/>
      <c r="AQ16" s="58"/>
      <c r="AR16" s="320">
        <f>IF(tilasto!A31=0,"",tilasto!A31)</f>
      </c>
      <c r="AS16" s="58"/>
      <c r="AT16" s="331"/>
    </row>
    <row r="17" spans="2:46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8"/>
      <c r="AO17" s="320">
        <f>IF(tilasto!A45=0,"",tilasto!A45)</f>
      </c>
      <c r="AP17" s="58"/>
      <c r="AQ17" s="58"/>
      <c r="AR17" s="320">
        <f>IF(tilasto!A32=0,"",tilasto!A32)</f>
      </c>
      <c r="AS17" s="58"/>
      <c r="AT17" s="331"/>
    </row>
    <row r="18" spans="2:46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369"/>
      <c r="AC18" s="369"/>
      <c r="AD18" s="369"/>
      <c r="AE18" s="370"/>
      <c r="AF18" s="370"/>
      <c r="AG18" s="370"/>
      <c r="AN18" s="58"/>
      <c r="AO18" s="331"/>
      <c r="AP18" s="331"/>
      <c r="AQ18" s="331"/>
      <c r="AR18" s="331"/>
      <c r="AS18" s="331"/>
      <c r="AT18" s="331"/>
    </row>
    <row r="19" spans="1:46" ht="30" customHeight="1">
      <c r="A19" s="26" t="str">
        <f>IF($M$6="x","x","x")</f>
        <v>x</v>
      </c>
      <c r="B19" s="26" t="str">
        <f>IF($M$6="x","1 - 1","1 - 2")</f>
        <v>1 - 2</v>
      </c>
      <c r="C19" s="359" t="str">
        <f>IF(C13=0,"",C13)</f>
        <v>Jyri Vesalainen</v>
      </c>
      <c r="D19" s="359"/>
      <c r="E19" s="359"/>
      <c r="F19" s="359"/>
      <c r="G19" s="359"/>
      <c r="H19" s="359"/>
      <c r="I19" s="43" t="s">
        <v>11</v>
      </c>
      <c r="J19" s="375" t="str">
        <f>IF($M$6="x",IF(O13=0,"",O13),IF(O14=0,"",O14))</f>
        <v>Jouni I. Kataja</v>
      </c>
      <c r="K19" s="375"/>
      <c r="L19" s="375"/>
      <c r="M19" s="375"/>
      <c r="N19" s="375"/>
      <c r="O19" s="376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0</v>
      </c>
      <c r="U19" s="30" t="s">
        <v>16</v>
      </c>
      <c r="V19" s="276">
        <f>IF(E56=501,C56,IF(AI19="l",1,""))</f>
        <v>25</v>
      </c>
      <c r="W19" s="276">
        <f>IF(E57=501,C57,IF(AI19="l",1,""))</f>
        <v>24</v>
      </c>
      <c r="X19" s="276">
        <f>IF(E58=501,C58,IF(AI19="l",1,""))</f>
        <v>31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</c>
      <c r="AE19" s="276">
        <f>IF(N59=501,L59,"")</f>
      </c>
      <c r="AF19" s="276">
        <f>IF(N60=501,L60,"")</f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N19" s="58"/>
      <c r="AO19" s="331"/>
      <c r="AP19" s="331"/>
      <c r="AQ19" s="331"/>
      <c r="AR19" s="331"/>
      <c r="AS19" s="331"/>
      <c r="AT19" s="331"/>
    </row>
    <row r="20" spans="1:46" ht="30" customHeight="1">
      <c r="A20" s="26">
        <f>IF($M$6="x","","")</f>
      </c>
      <c r="B20" s="26" t="str">
        <f>IF($M$6="x","2 - 2","2 - 1")</f>
        <v>2 - 1</v>
      </c>
      <c r="C20" s="359" t="str">
        <f>IF(C14=0,"",C14)</f>
        <v>Olli-Pekka Kallioniemi</v>
      </c>
      <c r="D20" s="359"/>
      <c r="E20" s="359"/>
      <c r="F20" s="359"/>
      <c r="G20" s="359"/>
      <c r="H20" s="359"/>
      <c r="I20" s="43" t="s">
        <v>11</v>
      </c>
      <c r="J20" s="375" t="str">
        <f>IF($M$6="x",IF(O14=0,"",O14),IF(O13=0,"",O13))</f>
        <v>Rami Mondolin</v>
      </c>
      <c r="K20" s="375"/>
      <c r="L20" s="375"/>
      <c r="M20" s="375"/>
      <c r="N20" s="375"/>
      <c r="O20" s="376"/>
      <c r="P20" s="42">
        <v>2</v>
      </c>
      <c r="Q20" s="201"/>
      <c r="R20" s="118">
        <f aca="true" t="shared" si="0" ref="R20:R26">IF(C20="","",COUNT(V20:Z20))</f>
        <v>3</v>
      </c>
      <c r="S20" s="119" t="s">
        <v>11</v>
      </c>
      <c r="T20" s="118">
        <f aca="true" t="shared" si="1" ref="T20:T26">IF(J20&lt;&gt;"",COUNT(AB20:AF20),"")</f>
        <v>2</v>
      </c>
      <c r="U20" s="30" t="s">
        <v>16</v>
      </c>
      <c r="V20" s="276">
        <f>IF(E66=501,C66,IF(AI20="l",1,""))</f>
      </c>
      <c r="W20" s="276">
        <f>IF(E67=501,C67,IF(AI20="l",1,""))</f>
        <v>28</v>
      </c>
      <c r="X20" s="276">
        <f>IF(E68=501,C68,IF(AI20="l",1,""))</f>
        <v>21</v>
      </c>
      <c r="Y20" s="276">
        <f>IF(E69=501,C69,"")</f>
      </c>
      <c r="Z20" s="276">
        <f>IF(E70=501,C70,"")</f>
        <v>26</v>
      </c>
      <c r="AA20" s="16" t="s">
        <v>11</v>
      </c>
      <c r="AB20" s="276">
        <f>IF(N66=501,L66,IF(AH20="l",1,""))</f>
        <v>35</v>
      </c>
      <c r="AC20" s="276">
        <f>IF(N67=501,L67,IF(AH20="l",1,""))</f>
      </c>
      <c r="AD20" s="276">
        <f>IF(N68=501,L68,IF(AH20="l",1,""))</f>
      </c>
      <c r="AE20" s="276">
        <f>IF(N69=501,L69,"")</f>
        <v>36</v>
      </c>
      <c r="AF20" s="276">
        <f>IF(N70=501,L70,"")</f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O20" s="331"/>
      <c r="AP20" s="331"/>
      <c r="AQ20" s="331"/>
      <c r="AR20" s="331"/>
      <c r="AS20" s="331"/>
      <c r="AT20" s="331"/>
    </row>
    <row r="21" spans="1:46" ht="30" customHeight="1">
      <c r="A21" s="26" t="str">
        <f>IF($M$6="x","x","x")</f>
        <v>x</v>
      </c>
      <c r="B21" s="26" t="str">
        <f>IF($M$6="x","3 - 3","3 - 4")</f>
        <v>3 - 4</v>
      </c>
      <c r="C21" s="359" t="str">
        <f>IF(C15=0,"",C15)</f>
        <v>Kari Laine</v>
      </c>
      <c r="D21" s="359"/>
      <c r="E21" s="359"/>
      <c r="F21" s="359"/>
      <c r="G21" s="359"/>
      <c r="H21" s="359"/>
      <c r="I21" s="43" t="s">
        <v>11</v>
      </c>
      <c r="J21" s="375" t="str">
        <f>IF($M$6="x",IF(O15=0,"",O15),IF(O16=0,"",O16))</f>
        <v>Seppo Makkonen</v>
      </c>
      <c r="K21" s="375"/>
      <c r="L21" s="375"/>
      <c r="M21" s="375"/>
      <c r="N21" s="375"/>
      <c r="O21" s="376"/>
      <c r="P21" s="42">
        <v>3</v>
      </c>
      <c r="Q21" s="201"/>
      <c r="R21" s="118">
        <f t="shared" si="0"/>
        <v>1</v>
      </c>
      <c r="S21" s="119" t="s">
        <v>11</v>
      </c>
      <c r="T21" s="118">
        <f>IF(J21&lt;&gt;"",COUNT(AB21:AF21),"")</f>
        <v>3</v>
      </c>
      <c r="U21" s="30" t="s">
        <v>16</v>
      </c>
      <c r="V21" s="276">
        <f>IF(E76=501,C76,IF(AI21="l",1,""))</f>
        <v>38</v>
      </c>
      <c r="W21" s="276">
        <f>IF(E77=501,C77,IF(AI21="l",1,""))</f>
      </c>
      <c r="X21" s="276">
        <f>IF(E78=501,C78,IF(AI21="l",1,""))</f>
      </c>
      <c r="Y21" s="276">
        <f>IF(E79=501,C79,"")</f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  <v>42</v>
      </c>
      <c r="AD21" s="276">
        <f>IF(N78=501,L78,IF(AH21="l",1,""))</f>
        <v>37</v>
      </c>
      <c r="AE21" s="276">
        <f>IF(N79=501,L79,"")</f>
        <v>30</v>
      </c>
      <c r="AF21" s="276">
        <f>IF(N80=501,L80,"")</f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O21" s="331"/>
      <c r="AP21" s="331"/>
      <c r="AQ21" s="331"/>
      <c r="AR21" s="331"/>
      <c r="AS21" s="331"/>
      <c r="AT21" s="331"/>
    </row>
    <row r="22" spans="1:37" ht="30" customHeight="1">
      <c r="A22" s="26">
        <f>IF($M$6="x","","")</f>
      </c>
      <c r="B22" s="26" t="str">
        <f>IF($M$6="x","","4 - 3")</f>
        <v>4 - 3</v>
      </c>
      <c r="C22" s="359" t="str">
        <f>IF(C16=0,"",C16)</f>
        <v>Ari Heinonen</v>
      </c>
      <c r="D22" s="359"/>
      <c r="E22" s="359"/>
      <c r="F22" s="359"/>
      <c r="G22" s="359"/>
      <c r="H22" s="359"/>
      <c r="I22" s="43" t="s">
        <v>11</v>
      </c>
      <c r="J22" s="375" t="str">
        <f>IF($M$6="x",IF(O16=0,"",O16),IF(O15=0,"",O15))</f>
        <v>Tomi Aaltonen</v>
      </c>
      <c r="K22" s="375"/>
      <c r="L22" s="375"/>
      <c r="M22" s="375"/>
      <c r="N22" s="375"/>
      <c r="O22" s="376"/>
      <c r="P22" s="42">
        <v>4</v>
      </c>
      <c r="Q22" s="201"/>
      <c r="R22" s="118">
        <f t="shared" si="0"/>
        <v>3</v>
      </c>
      <c r="S22" s="119" t="s">
        <v>11</v>
      </c>
      <c r="T22" s="118">
        <f t="shared" si="1"/>
        <v>0</v>
      </c>
      <c r="U22" s="30" t="s">
        <v>16</v>
      </c>
      <c r="V22" s="276">
        <f>IF(E86=501,C86,IF(AI22="l",1,""))</f>
        <v>35</v>
      </c>
      <c r="W22" s="276">
        <f>IF(E87=501,C87,IF(AI22="l",1,""))</f>
        <v>29</v>
      </c>
      <c r="X22" s="276">
        <f>IF(E88=501,C88,IF(AI22="l",1,""))</f>
        <v>30</v>
      </c>
      <c r="Y22" s="276">
        <f>IF(E89=501,C89,"")</f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</c>
      <c r="AD22" s="276">
        <f>IF(N88=501,L88,IF(AH22="l",1,""))</f>
      </c>
      <c r="AE22" s="276">
        <f>IF(N89=501,L89,"")</f>
      </c>
      <c r="AF22" s="276">
        <f>IF(N90=501,L90,"")</f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59" t="str">
        <f>IF(C13=0,"",C13)</f>
        <v>Jyri Vesalainen</v>
      </c>
      <c r="D23" s="359"/>
      <c r="E23" s="359"/>
      <c r="F23" s="359"/>
      <c r="G23" s="359"/>
      <c r="H23" s="359"/>
      <c r="I23" s="43" t="s">
        <v>11</v>
      </c>
      <c r="J23" s="375" t="str">
        <f>IF($M$6="x",IF(O14=0,"",O14),IF(O13=0,"",O13))</f>
        <v>Rami Mondolin</v>
      </c>
      <c r="K23" s="375"/>
      <c r="L23" s="375"/>
      <c r="M23" s="375"/>
      <c r="N23" s="375"/>
      <c r="O23" s="376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0</v>
      </c>
      <c r="U23" s="30" t="s">
        <v>16</v>
      </c>
      <c r="V23" s="276">
        <f>IF(E96=501,C96,IF(AI23="l",1,""))</f>
        <v>27</v>
      </c>
      <c r="W23" s="276">
        <f>IF(E97=501,C97,IF(AI23="l",1,""))</f>
        <v>47</v>
      </c>
      <c r="X23" s="276">
        <f>IF(E98=501,C98,IF(AI23="l",1,""))</f>
        <v>28</v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</c>
      <c r="AC23" s="276">
        <f>IF(N97=501,L97,IF(AH23="l",1,""))</f>
      </c>
      <c r="AD23" s="276">
        <f>IF(N98=501,L98,IF(AH23="l",1,""))</f>
      </c>
      <c r="AE23" s="276">
        <f>IF(N99=501,L99,"")</f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59" t="str">
        <f>IF(C14=0,"",C14)</f>
        <v>Olli-Pekka Kallioniemi</v>
      </c>
      <c r="D24" s="359"/>
      <c r="E24" s="359"/>
      <c r="F24" s="359"/>
      <c r="G24" s="359"/>
      <c r="H24" s="359"/>
      <c r="I24" s="43" t="s">
        <v>11</v>
      </c>
      <c r="J24" s="375" t="str">
        <f>IF($M$6="x",IF(O15=0,"",O15),IF(O14=0,"",O14))</f>
        <v>Jouni I. Kataja</v>
      </c>
      <c r="K24" s="375"/>
      <c r="L24" s="375"/>
      <c r="M24" s="375"/>
      <c r="N24" s="375"/>
      <c r="O24" s="376"/>
      <c r="P24" s="42">
        <v>6</v>
      </c>
      <c r="Q24" s="201"/>
      <c r="R24" s="118">
        <f t="shared" si="0"/>
        <v>3</v>
      </c>
      <c r="S24" s="119" t="s">
        <v>11</v>
      </c>
      <c r="T24" s="118">
        <f t="shared" si="1"/>
        <v>1</v>
      </c>
      <c r="U24" s="30" t="s">
        <v>16</v>
      </c>
      <c r="V24" s="276">
        <f>IF(E106=501,C106,IF(AI24="l",1,""))</f>
        <v>38</v>
      </c>
      <c r="W24" s="276">
        <f>IF(E107=501,C107,IF(AI24="l",1,""))</f>
        <v>39</v>
      </c>
      <c r="X24" s="276">
        <f>IF(E108=501,C108,IF(AI24="l",1,""))</f>
      </c>
      <c r="Y24" s="276">
        <f>IF(E109=501,C109,"")</f>
        <v>43</v>
      </c>
      <c r="Z24" s="276">
        <f>IF(E110=501,C110,"")</f>
      </c>
      <c r="AA24" s="16" t="s">
        <v>11</v>
      </c>
      <c r="AB24" s="276">
        <f>IF(N106=501,L106,IF(AH24="l",1,""))</f>
      </c>
      <c r="AC24" s="276">
        <f>IF(N107=501,L107,IF(AH24="l",1,""))</f>
      </c>
      <c r="AD24" s="276">
        <f>IF(N108=501,L108,IF(AH24="l",1,""))</f>
        <v>30</v>
      </c>
      <c r="AE24" s="276">
        <f>IF(N109=501,L109,"")</f>
      </c>
      <c r="AF24" s="276">
        <f>IF(N110=501,L110,"")</f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59" t="str">
        <f>IF(C15=0,"",C15)</f>
        <v>Kari Laine</v>
      </c>
      <c r="D25" s="359"/>
      <c r="E25" s="359"/>
      <c r="F25" s="359"/>
      <c r="G25" s="359"/>
      <c r="H25" s="359"/>
      <c r="I25" s="43" t="s">
        <v>11</v>
      </c>
      <c r="J25" s="375" t="str">
        <f>IF($M$6="x",IF(O13=0,"",O13),IF(O15=0,"",O15))</f>
        <v>Tomi Aaltonen</v>
      </c>
      <c r="K25" s="375"/>
      <c r="L25" s="375"/>
      <c r="M25" s="375"/>
      <c r="N25" s="375"/>
      <c r="O25" s="376"/>
      <c r="P25" s="42">
        <v>7</v>
      </c>
      <c r="Q25" s="201"/>
      <c r="R25" s="118">
        <f t="shared" si="0"/>
        <v>0</v>
      </c>
      <c r="S25" s="119" t="s">
        <v>11</v>
      </c>
      <c r="T25" s="118">
        <f t="shared" si="1"/>
        <v>3</v>
      </c>
      <c r="U25" s="30" t="s">
        <v>16</v>
      </c>
      <c r="V25" s="276">
        <f>IF(E116=501,C116,IF(AI25="l",1,""))</f>
      </c>
      <c r="W25" s="276">
        <f>IF(E117=501,C117,IF(AI25="l",1,""))</f>
      </c>
      <c r="X25" s="276">
        <f>IF(E118=501,C118,IF(AI25="l",1,""))</f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  <v>37</v>
      </c>
      <c r="AC25" s="276">
        <f>IF(N117=501,L117,IF(AH25="l",1,""))</f>
        <v>27</v>
      </c>
      <c r="AD25" s="276">
        <f>IF(N118=501,L118,IF(AH25="l",1,""))</f>
        <v>22</v>
      </c>
      <c r="AE25" s="276">
        <f>IF(N119=501,L119,"")</f>
      </c>
      <c r="AF25" s="276">
        <f>IF(N120=501,L120,"")</f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59" t="str">
        <f>IF(C16=0,"",C16)</f>
        <v>Ari Heinonen</v>
      </c>
      <c r="D26" s="359"/>
      <c r="E26" s="359"/>
      <c r="F26" s="359"/>
      <c r="G26" s="359"/>
      <c r="H26" s="359"/>
      <c r="I26" s="43" t="s">
        <v>11</v>
      </c>
      <c r="J26" s="375" t="str">
        <f>IF(O16=0,"",O16)</f>
        <v>Seppo Makkonen</v>
      </c>
      <c r="K26" s="375"/>
      <c r="L26" s="375"/>
      <c r="M26" s="375"/>
      <c r="N26" s="375"/>
      <c r="O26" s="376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0</v>
      </c>
      <c r="U26" s="30" t="s">
        <v>16</v>
      </c>
      <c r="V26" s="276">
        <f>IF(E126=501,C126,IF(AI26="l",1,""))</f>
        <v>21</v>
      </c>
      <c r="W26" s="276">
        <f>IF(E127=501,C127,IF(AI26="l",1,""))</f>
        <v>36</v>
      </c>
      <c r="X26" s="276">
        <f>IF(E128=501,C128,IF(AI26="l",1,""))</f>
        <v>30</v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</c>
      <c r="AC26" s="276">
        <f>IF(N127=501,L127,IF(AH26="l",1,""))</f>
      </c>
      <c r="AD26" s="276">
        <f>IF(N128=501,L128,IF(AH26="l",1,""))</f>
      </c>
      <c r="AE26" s="276">
        <f>IF(N129=501,L129,"")</f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81" t="str">
        <f>B9</f>
        <v>Kukon Tikka 3</v>
      </c>
      <c r="D27" s="423"/>
      <c r="E27" s="423"/>
      <c r="F27" s="423"/>
      <c r="G27" s="423"/>
      <c r="H27" s="423"/>
      <c r="I27" s="258" t="s">
        <v>11</v>
      </c>
      <c r="J27" s="381" t="str">
        <f>O9</f>
        <v>Satatikka 2</v>
      </c>
      <c r="K27" s="381"/>
      <c r="L27" s="381"/>
      <c r="M27" s="381"/>
      <c r="N27" s="381"/>
      <c r="O27" s="382"/>
      <c r="P27" s="42" t="s">
        <v>69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8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377" t="s">
        <v>9</v>
      </c>
      <c r="P28" s="378"/>
      <c r="Q28" s="38"/>
      <c r="R28" s="273">
        <f>SUMIF(R19:R27,"&gt;0",R19:R27)</f>
        <v>19</v>
      </c>
      <c r="S28" s="20" t="s">
        <v>11</v>
      </c>
      <c r="T28" s="273">
        <f>SUMIF(T19:T27,"&gt;0",T19:T27)</f>
        <v>9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71" t="str">
        <f>IF(B9&gt;="0",B9,"")</f>
        <v>Kukon Tikka 3</v>
      </c>
      <c r="C31" s="372"/>
      <c r="D31" s="372"/>
      <c r="E31" s="372"/>
      <c r="F31" s="372"/>
      <c r="G31" s="372"/>
      <c r="H31" s="372"/>
      <c r="I31" s="373"/>
      <c r="J31" s="29" t="s">
        <v>11</v>
      </c>
      <c r="K31" s="371" t="str">
        <f>IF(O9&gt;="0",O9,"")</f>
        <v>Satatikka 2</v>
      </c>
      <c r="L31" s="372"/>
      <c r="M31" s="372"/>
      <c r="N31" s="372"/>
      <c r="O31" s="372"/>
      <c r="P31" s="372"/>
      <c r="Q31" s="372"/>
      <c r="R31" s="373"/>
      <c r="S31" s="374"/>
      <c r="T31" s="374"/>
      <c r="U31" s="374"/>
      <c r="V31" s="15"/>
      <c r="W31" s="396">
        <f>IF(R28=0,0,COUNTIF(R17:R27,"3"))</f>
        <v>6</v>
      </c>
      <c r="X31" s="396"/>
      <c r="Y31" s="396"/>
      <c r="Z31" s="396"/>
      <c r="AA31" s="82" t="s">
        <v>11</v>
      </c>
      <c r="AB31" s="396">
        <f>IF(T28=0,0,COUNTIF(T17:T27,"3"))</f>
        <v>2</v>
      </c>
      <c r="AC31" s="396"/>
      <c r="AD31" s="396"/>
      <c r="AE31" s="396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</row>
    <row r="35" spans="1:37" s="6" customFormat="1" ht="31.5" customHeight="1">
      <c r="A35" s="7"/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85"/>
      <c r="AI35" s="85"/>
      <c r="AJ35" s="85"/>
      <c r="AK35" s="85"/>
    </row>
    <row r="36" spans="2:37" s="6" customFormat="1" ht="31.5" customHeight="1">
      <c r="B36" s="379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7"/>
      <c r="P38" s="240"/>
      <c r="Q38" s="282"/>
      <c r="R38" s="7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.7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7"/>
      <c r="P39" s="240"/>
      <c r="Q39" s="282">
        <f>IF(V51+AB51+AK28&lt;&gt;0,"Ottelupöytäkirja on keskeneräinen !!!","")</f>
      </c>
      <c r="R39" s="7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386" t="str">
        <f>IF(M13="x",C13,"")&amp;IF(M14="x",C14,"")&amp;IF(M15="x",C15,"")&amp;IF(M16="x",C16,"")</f>
        <v>Olli-Pekka Kallioniemi</v>
      </c>
      <c r="C40" s="386"/>
      <c r="D40" s="386"/>
      <c r="E40" s="386"/>
      <c r="F40" s="386"/>
      <c r="G40" s="386"/>
      <c r="H40" s="386"/>
      <c r="I40" s="386"/>
      <c r="J40" s="386"/>
      <c r="K40" s="387"/>
      <c r="L40" s="387"/>
      <c r="M40" s="387"/>
      <c r="N40" s="7"/>
      <c r="O40" s="386" t="str">
        <f>IF(AF13="x",O13,"")&amp;IF(AF14="x",O14,"")&amp;IF(AF15="x",O15,"")&amp;IF(AF16="x",O16,"")</f>
        <v>Rami Mondolin</v>
      </c>
      <c r="P40" s="386"/>
      <c r="Q40" s="386"/>
      <c r="R40" s="386"/>
      <c r="S40" s="386"/>
      <c r="T40" s="386"/>
      <c r="U40" s="386"/>
      <c r="V40" s="386"/>
      <c r="W40" s="386"/>
      <c r="X40" s="387"/>
      <c r="Y40" s="387"/>
      <c r="Z40" s="387"/>
      <c r="AA40" s="415"/>
      <c r="AB40" s="415"/>
      <c r="AC40" s="415"/>
      <c r="AD40" s="415"/>
      <c r="AE40" s="415"/>
      <c r="AF40" s="415"/>
      <c r="AG40" s="415"/>
    </row>
    <row r="41" spans="2:33" ht="42" customHeight="1">
      <c r="B41" s="388"/>
      <c r="C41" s="388"/>
      <c r="D41" s="388"/>
      <c r="E41" s="388"/>
      <c r="F41" s="388"/>
      <c r="G41" s="388"/>
      <c r="H41" s="388"/>
      <c r="I41" s="388"/>
      <c r="J41" s="388"/>
      <c r="K41" s="389"/>
      <c r="L41" s="389"/>
      <c r="M41" s="389"/>
      <c r="N41" s="7"/>
      <c r="O41" s="388"/>
      <c r="P41" s="388"/>
      <c r="Q41" s="388"/>
      <c r="R41" s="388"/>
      <c r="S41" s="388"/>
      <c r="T41" s="388"/>
      <c r="U41" s="388"/>
      <c r="V41" s="388"/>
      <c r="W41" s="388"/>
      <c r="X41" s="389"/>
      <c r="Y41" s="389"/>
      <c r="Z41" s="389"/>
      <c r="AA41" s="416"/>
      <c r="AB41" s="416"/>
      <c r="AC41" s="416"/>
      <c r="AD41" s="416"/>
      <c r="AE41" s="416"/>
      <c r="AF41" s="416"/>
      <c r="AG41" s="416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93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32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86" customFormat="1" ht="15">
      <c r="A51" s="85"/>
      <c r="I51" s="93"/>
      <c r="J51" s="93"/>
      <c r="K51" s="93"/>
      <c r="L51" s="93"/>
      <c r="M51" s="93"/>
      <c r="T51" s="44"/>
      <c r="U51" s="85"/>
      <c r="V51" s="269">
        <f>COUNTIF(V56:V143,"TARKISTA JÄI-SARAKE")</f>
        <v>0</v>
      </c>
      <c r="W51" s="269"/>
      <c r="AB51" s="269">
        <f>COUNTIF(AB56:AB143,"toinen TIKAT-sarake tyhjä !")</f>
        <v>0</v>
      </c>
      <c r="AD51" s="33"/>
      <c r="AE51" s="33"/>
      <c r="AF51" s="33"/>
    </row>
    <row r="52" spans="1:32" s="86" customFormat="1" ht="15.75" thickBot="1">
      <c r="A52" s="85"/>
      <c r="H52" s="85"/>
      <c r="I52" s="93"/>
      <c r="J52" s="93"/>
      <c r="K52" s="93"/>
      <c r="L52" s="93"/>
      <c r="M52" s="93"/>
      <c r="T52" s="44"/>
      <c r="U52" s="85"/>
      <c r="V52" s="85"/>
      <c r="AD52" s="33"/>
      <c r="AE52" s="33"/>
      <c r="AF52" s="33"/>
    </row>
    <row r="53" spans="1:37" s="33" customFormat="1" ht="27.75" customHeight="1">
      <c r="A53" s="206"/>
      <c r="B53" s="207" t="s">
        <v>0</v>
      </c>
      <c r="C53" s="360" t="str">
        <f>C19</f>
        <v>Jyri Vesalainen</v>
      </c>
      <c r="D53" s="360"/>
      <c r="E53" s="360"/>
      <c r="F53" s="360"/>
      <c r="G53" s="360"/>
      <c r="H53" s="236">
        <f>IF(OR(H54="L",C53=0),0,1)</f>
        <v>1</v>
      </c>
      <c r="I53" s="217"/>
      <c r="J53" s="208"/>
      <c r="K53" s="209" t="s">
        <v>0</v>
      </c>
      <c r="L53" s="360" t="str">
        <f>J19</f>
        <v>Jouni I. Kataja</v>
      </c>
      <c r="M53" s="360"/>
      <c r="N53" s="360"/>
      <c r="O53" s="360"/>
      <c r="P53" s="360"/>
      <c r="Q53" s="360"/>
      <c r="R53" s="360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H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84"/>
      <c r="J54" s="38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7" t="s">
        <v>29</v>
      </c>
      <c r="P55" s="358"/>
      <c r="Q55" s="102"/>
      <c r="R55" s="100" t="s">
        <v>30</v>
      </c>
      <c r="S55" s="211"/>
      <c r="T55" s="44"/>
      <c r="U55" s="302"/>
      <c r="V55" s="85"/>
      <c r="W55" s="86"/>
      <c r="X55" s="86"/>
      <c r="Y55" s="86"/>
      <c r="Z55" s="86"/>
      <c r="AA55" s="86"/>
      <c r="AB55" s="86"/>
      <c r="AC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25</v>
      </c>
      <c r="D56" s="103"/>
      <c r="E56" s="108">
        <f>IF(C56=0," ",IF(C56=0,0,501-D56))</f>
        <v>501</v>
      </c>
      <c r="F56" s="103"/>
      <c r="G56" s="103"/>
      <c r="H56" s="106">
        <f>IF(AND(H53=1,S53=0),1,IF(COUNT(C56:C60)&gt;2,IF(COUNT(D56:D60)=3,0,1),0))</f>
        <v>1</v>
      </c>
      <c r="I56" s="218"/>
      <c r="J56" s="105"/>
      <c r="K56" s="221">
        <v>1</v>
      </c>
      <c r="L56" s="103">
        <v>24</v>
      </c>
      <c r="M56" s="109">
        <v>40</v>
      </c>
      <c r="N56" s="108">
        <f>IF(L56=0," ",IF(L56=0,0,501-M56))</f>
        <v>461</v>
      </c>
      <c r="O56" s="354">
        <v>1</v>
      </c>
      <c r="P56" s="355"/>
      <c r="Q56" s="356"/>
      <c r="R56" s="103"/>
      <c r="S56" s="211"/>
      <c r="T56" s="44"/>
      <c r="U56" s="239">
        <f>IF(AND(S53=1,H53=0),1,IF(COUNT(L56:L60)&gt;2,IF(COUNT(M56:M60)=3,0,1),0))</f>
        <v>0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C56" s="86"/>
      <c r="AH56" s="86"/>
      <c r="AI56" s="86"/>
      <c r="AJ56" s="86"/>
      <c r="AK56" s="86"/>
    </row>
    <row r="57" spans="1:37" s="33" customFormat="1" ht="31.5" customHeight="1">
      <c r="A57" s="367" t="s">
        <v>31</v>
      </c>
      <c r="B57" s="221">
        <v>2</v>
      </c>
      <c r="C57" s="103">
        <v>24</v>
      </c>
      <c r="D57" s="103"/>
      <c r="E57" s="108">
        <f>IF(C57=0," ",IF(C57=0,0,501-D57))</f>
        <v>501</v>
      </c>
      <c r="F57" s="103"/>
      <c r="G57" s="103"/>
      <c r="H57" s="108"/>
      <c r="I57" s="218"/>
      <c r="J57" s="105"/>
      <c r="K57" s="221">
        <v>2</v>
      </c>
      <c r="L57" s="103">
        <v>24</v>
      </c>
      <c r="M57" s="109">
        <v>60</v>
      </c>
      <c r="N57" s="108">
        <f>IF(L57=0," ",IF(L57=0,0,501-M57))</f>
        <v>441</v>
      </c>
      <c r="O57" s="354">
        <v>2</v>
      </c>
      <c r="P57" s="355"/>
      <c r="Q57" s="356"/>
      <c r="R57" s="103"/>
      <c r="S57" s="211"/>
      <c r="T57" s="438"/>
      <c r="U57" s="239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H57" s="86"/>
      <c r="AI57" s="86"/>
      <c r="AJ57" s="86"/>
      <c r="AK57" s="86"/>
    </row>
    <row r="58" spans="1:37" s="33" customFormat="1" ht="31.5" customHeight="1">
      <c r="A58" s="368"/>
      <c r="B58" s="221">
        <v>3</v>
      </c>
      <c r="C58" s="103">
        <v>31</v>
      </c>
      <c r="D58" s="103"/>
      <c r="E58" s="108">
        <f>IF(C58=0," ",IF(C58=0,0,501-D58))</f>
        <v>501</v>
      </c>
      <c r="F58" s="103">
        <v>1</v>
      </c>
      <c r="G58" s="103"/>
      <c r="H58" s="108"/>
      <c r="I58" s="218"/>
      <c r="J58" s="105"/>
      <c r="K58" s="221">
        <v>3</v>
      </c>
      <c r="L58" s="103">
        <v>30</v>
      </c>
      <c r="M58" s="109">
        <v>108</v>
      </c>
      <c r="N58" s="108">
        <f>IF(L58=0," ",IF(L58=0,0,501-M58))</f>
        <v>393</v>
      </c>
      <c r="O58" s="354">
        <v>1</v>
      </c>
      <c r="P58" s="355"/>
      <c r="Q58" s="356"/>
      <c r="R58" s="103"/>
      <c r="S58" s="211"/>
      <c r="T58" s="439"/>
      <c r="U58" s="239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H58" s="86"/>
      <c r="AI58" s="86"/>
      <c r="AJ58" s="86"/>
      <c r="AK58" s="86"/>
    </row>
    <row r="59" spans="1:37" s="33" customFormat="1" ht="31.5" customHeight="1">
      <c r="A59" s="368"/>
      <c r="B59" s="221">
        <v>4</v>
      </c>
      <c r="C59" s="103"/>
      <c r="D59" s="103"/>
      <c r="E59" s="108" t="str">
        <f>IF(C59=0," ",IF(C59=0,0,501-D59))</f>
        <v> </v>
      </c>
      <c r="F59" s="103"/>
      <c r="G59" s="103"/>
      <c r="H59" s="108"/>
      <c r="I59" s="218"/>
      <c r="J59" s="105"/>
      <c r="K59" s="221">
        <v>4</v>
      </c>
      <c r="L59" s="103"/>
      <c r="M59" s="109"/>
      <c r="N59" s="108" t="str">
        <f>IF(L59=0," ",IF(L59=0,0,501-M59))</f>
        <v> </v>
      </c>
      <c r="O59" s="354"/>
      <c r="P59" s="355"/>
      <c r="Q59" s="356"/>
      <c r="R59" s="103"/>
      <c r="S59" s="211"/>
      <c r="T59" s="439"/>
      <c r="U59" s="239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3"/>
      <c r="E60" s="108" t="str">
        <f>IF(C60=0," ",IF(C60=0,0,501-D60))</f>
        <v> </v>
      </c>
      <c r="F60" s="103"/>
      <c r="G60" s="103"/>
      <c r="H60" s="108"/>
      <c r="I60" s="218"/>
      <c r="J60" s="105"/>
      <c r="K60" s="221">
        <v>5</v>
      </c>
      <c r="L60" s="103"/>
      <c r="M60" s="109"/>
      <c r="N60" s="108" t="str">
        <f>IF(L60=0," ",IF(L60=0,0,501-M60))</f>
        <v> </v>
      </c>
      <c r="O60" s="354"/>
      <c r="P60" s="355"/>
      <c r="Q60" s="356"/>
      <c r="R60" s="103"/>
      <c r="S60" s="211"/>
      <c r="T60" s="44"/>
      <c r="U60" s="239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H60" s="86"/>
      <c r="AI60" s="86"/>
      <c r="AJ60" s="86"/>
      <c r="AK60" s="86"/>
    </row>
    <row r="61" spans="1:37" s="33" customFormat="1" ht="23.25" customHeight="1" thickBot="1">
      <c r="A61" s="223"/>
      <c r="B61" s="214"/>
      <c r="C61" s="231">
        <f>COUNTIF(C56:C60,"&gt;0")</f>
        <v>3</v>
      </c>
      <c r="D61" s="231">
        <f>COUNTIF(D56:D60,"&gt;0")</f>
        <v>0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3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H61" s="86"/>
      <c r="AI61" s="86"/>
      <c r="AJ61" s="86"/>
      <c r="AK61" s="86"/>
    </row>
    <row r="62" spans="1:32" s="86" customFormat="1" ht="36.75" customHeight="1" thickBot="1">
      <c r="A62" s="85"/>
      <c r="B62" s="228" t="s">
        <v>31</v>
      </c>
      <c r="H62" s="33"/>
      <c r="I62" s="93"/>
      <c r="J62" s="93"/>
      <c r="K62" s="93"/>
      <c r="L62" s="93"/>
      <c r="M62" s="93"/>
      <c r="T62" s="44"/>
      <c r="U62" s="85"/>
      <c r="V62" s="306"/>
      <c r="AB62" s="305"/>
      <c r="AD62" s="33"/>
      <c r="AE62" s="33"/>
      <c r="AF62" s="33"/>
    </row>
    <row r="63" spans="1:37" s="33" customFormat="1" ht="27.75" customHeight="1">
      <c r="A63" s="206"/>
      <c r="B63" s="207" t="s">
        <v>0</v>
      </c>
      <c r="C63" s="360" t="str">
        <f>C20</f>
        <v>Olli-Pekka Kallioniemi</v>
      </c>
      <c r="D63" s="360"/>
      <c r="E63" s="360"/>
      <c r="F63" s="360"/>
      <c r="G63" s="360"/>
      <c r="H63" s="236">
        <f>IF(OR(H64="L",C63=0),0,1)</f>
        <v>1</v>
      </c>
      <c r="I63" s="217"/>
      <c r="J63" s="208"/>
      <c r="K63" s="209" t="s">
        <v>0</v>
      </c>
      <c r="L63" s="360" t="str">
        <f>J20</f>
        <v>Rami Mondolin</v>
      </c>
      <c r="M63" s="360"/>
      <c r="N63" s="360"/>
      <c r="O63" s="360"/>
      <c r="P63" s="360"/>
      <c r="Q63" s="383"/>
      <c r="R63" s="383"/>
      <c r="S63" s="232">
        <f>IF(OR(I64="L",L63=0),0,1)</f>
        <v>1</v>
      </c>
      <c r="T63" s="44"/>
      <c r="U63" s="85"/>
      <c r="V63" s="306"/>
      <c r="W63" s="86"/>
      <c r="X63" s="86"/>
      <c r="Y63" s="86"/>
      <c r="Z63" s="86"/>
      <c r="AA63" s="86"/>
      <c r="AB63" s="305"/>
      <c r="AC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84"/>
      <c r="J64" s="38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7" t="s">
        <v>29</v>
      </c>
      <c r="P65" s="358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33</v>
      </c>
      <c r="D66" s="103">
        <v>10</v>
      </c>
      <c r="E66" s="108">
        <f>IF(C66=0,"",IF(C66=0,0,501-D66))</f>
        <v>491</v>
      </c>
      <c r="F66" s="103"/>
      <c r="G66" s="103"/>
      <c r="H66" s="106">
        <f>IF(AND(H63=1,S63=0),1,IF(COUNT(C66:C70)&gt;2,IF(COUNT(D66:D70)=3,0,1),0))</f>
        <v>1</v>
      </c>
      <c r="I66" s="218"/>
      <c r="J66" s="105"/>
      <c r="K66" s="221">
        <v>1</v>
      </c>
      <c r="L66" s="103">
        <v>35</v>
      </c>
      <c r="M66" s="109"/>
      <c r="N66" s="108">
        <f>IF(L66=0," ",IF(L66=0,0,501-M66))</f>
        <v>501</v>
      </c>
      <c r="O66" s="354">
        <v>1</v>
      </c>
      <c r="P66" s="355"/>
      <c r="Q66" s="356"/>
      <c r="R66" s="103"/>
      <c r="S66" s="211"/>
      <c r="U66" s="104">
        <f>IF(AND(S63=1,H63=0),1,IF(COUNT(L66:L70)&gt;2,IF(COUNT(M66:M70)=3,0,1),0))</f>
        <v>0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C66" s="86"/>
      <c r="AH66" s="86"/>
      <c r="AI66" s="86"/>
      <c r="AJ66" s="86"/>
      <c r="AK66" s="86"/>
    </row>
    <row r="67" spans="1:37" s="33" customFormat="1" ht="30.75" customHeight="1">
      <c r="A67" s="367" t="s">
        <v>32</v>
      </c>
      <c r="B67" s="221">
        <v>2</v>
      </c>
      <c r="C67" s="103">
        <v>28</v>
      </c>
      <c r="D67" s="103"/>
      <c r="E67" s="108">
        <f>IF(C67=0," ",IF(C67=0,0,501-D67))</f>
        <v>501</v>
      </c>
      <c r="F67" s="103">
        <v>1</v>
      </c>
      <c r="G67" s="103"/>
      <c r="H67" s="44"/>
      <c r="I67" s="218"/>
      <c r="J67" s="105"/>
      <c r="K67" s="221">
        <v>2</v>
      </c>
      <c r="L67" s="103">
        <v>27</v>
      </c>
      <c r="M67" s="109">
        <v>99</v>
      </c>
      <c r="N67" s="108">
        <f>IF(L67=0," ",IF(L67=0,0,501-M67))</f>
        <v>402</v>
      </c>
      <c r="O67" s="354"/>
      <c r="P67" s="355"/>
      <c r="Q67" s="356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H67" s="86"/>
      <c r="AI67" s="86"/>
      <c r="AJ67" s="86"/>
      <c r="AK67" s="86"/>
    </row>
    <row r="68" spans="1:37" s="33" customFormat="1" ht="30.75" customHeight="1">
      <c r="A68" s="368"/>
      <c r="B68" s="221">
        <v>3</v>
      </c>
      <c r="C68" s="103">
        <v>21</v>
      </c>
      <c r="D68" s="103"/>
      <c r="E68" s="108">
        <f>IF(C68=0," ",IF(C68=0,0,501-D68))</f>
        <v>501</v>
      </c>
      <c r="F68" s="103">
        <v>2</v>
      </c>
      <c r="G68" s="103"/>
      <c r="H68" s="44"/>
      <c r="I68" s="218"/>
      <c r="J68" s="105"/>
      <c r="K68" s="221">
        <v>3</v>
      </c>
      <c r="L68" s="103">
        <v>21</v>
      </c>
      <c r="M68" s="109">
        <v>109</v>
      </c>
      <c r="N68" s="108">
        <f>IF(L68=0," ",IF(L68=0,0,501-M68))</f>
        <v>392</v>
      </c>
      <c r="O68" s="354"/>
      <c r="P68" s="355"/>
      <c r="Q68" s="356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H68" s="86"/>
      <c r="AI68" s="86"/>
      <c r="AJ68" s="86"/>
      <c r="AK68" s="86"/>
    </row>
    <row r="69" spans="1:37" s="33" customFormat="1" ht="30.75" customHeight="1">
      <c r="A69" s="368"/>
      <c r="B69" s="221">
        <v>4</v>
      </c>
      <c r="C69" s="103">
        <v>36</v>
      </c>
      <c r="D69" s="103">
        <v>4</v>
      </c>
      <c r="E69" s="108">
        <f>IF(C69=0," ",IF(C69=0,0,501-D69))</f>
        <v>497</v>
      </c>
      <c r="F69" s="103">
        <v>1</v>
      </c>
      <c r="G69" s="103"/>
      <c r="H69" s="44"/>
      <c r="I69" s="218"/>
      <c r="J69" s="105"/>
      <c r="K69" s="221">
        <v>4</v>
      </c>
      <c r="L69" s="103">
        <v>36</v>
      </c>
      <c r="M69" s="109"/>
      <c r="N69" s="108">
        <f>IF(L69=0," ",IF(L69=0,0,501-M69))</f>
        <v>501</v>
      </c>
      <c r="O69" s="354"/>
      <c r="P69" s="355"/>
      <c r="Q69" s="356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>
        <v>26</v>
      </c>
      <c r="D70" s="103"/>
      <c r="E70" s="108">
        <f>IF(C70=0," ",IF(C70=0,0,501-D70))</f>
        <v>501</v>
      </c>
      <c r="F70" s="103"/>
      <c r="G70" s="103"/>
      <c r="H70" s="44"/>
      <c r="I70" s="218"/>
      <c r="J70" s="105"/>
      <c r="K70" s="221">
        <v>5</v>
      </c>
      <c r="L70" s="103">
        <v>27</v>
      </c>
      <c r="M70" s="109">
        <v>36</v>
      </c>
      <c r="N70" s="108">
        <f>IF(L70=0," ",IF(L70=0,0,501-M70))</f>
        <v>465</v>
      </c>
      <c r="O70" s="354"/>
      <c r="P70" s="355"/>
      <c r="Q70" s="356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5</v>
      </c>
      <c r="D71" s="231">
        <f>COUNTIF(D66:D70,"&gt;0")</f>
        <v>2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5</v>
      </c>
      <c r="M71" s="231">
        <f>COUNTIF(M66:M70,"&gt;0")</f>
        <v>3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H71" s="86"/>
      <c r="AI71" s="86"/>
      <c r="AJ71" s="86"/>
      <c r="AK71" s="86"/>
    </row>
    <row r="72" spans="1:32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D72" s="33"/>
      <c r="AE72" s="33"/>
      <c r="AF72" s="33"/>
    </row>
    <row r="73" spans="1:37" s="33" customFormat="1" ht="27" customHeight="1">
      <c r="A73" s="206"/>
      <c r="B73" s="207" t="s">
        <v>0</v>
      </c>
      <c r="C73" s="360" t="str">
        <f>C21</f>
        <v>Kari Laine</v>
      </c>
      <c r="D73" s="360"/>
      <c r="E73" s="360"/>
      <c r="F73" s="360"/>
      <c r="G73" s="360"/>
      <c r="H73" s="236">
        <f>IF(OR(H74="L",C73=0),0,1)</f>
        <v>1</v>
      </c>
      <c r="I73" s="217"/>
      <c r="J73" s="208"/>
      <c r="K73" s="209" t="s">
        <v>0</v>
      </c>
      <c r="L73" s="360" t="str">
        <f>J21</f>
        <v>Seppo Makkonen</v>
      </c>
      <c r="M73" s="360"/>
      <c r="N73" s="360"/>
      <c r="O73" s="360"/>
      <c r="P73" s="360"/>
      <c r="Q73" s="383"/>
      <c r="R73" s="383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84"/>
      <c r="J74" s="38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7" t="s">
        <v>29</v>
      </c>
      <c r="P75" s="358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38</v>
      </c>
      <c r="D76" s="103"/>
      <c r="E76" s="108">
        <f>IF(C76=0,"",IF(C76=0,0,501-D76))</f>
        <v>501</v>
      </c>
      <c r="F76" s="103"/>
      <c r="G76" s="103"/>
      <c r="H76" s="235">
        <f>IF(AND(H73=1,S73=0),1,IF(COUNT(C76:C80)&gt;2,IF(COUNT(D76:D80)=3,0,1),0))</f>
        <v>0</v>
      </c>
      <c r="I76" s="218"/>
      <c r="J76" s="105"/>
      <c r="K76" s="221">
        <v>1</v>
      </c>
      <c r="L76" s="103">
        <v>36</v>
      </c>
      <c r="M76" s="109">
        <v>116</v>
      </c>
      <c r="N76" s="108">
        <f>IF(L76=0," ",IF(L76=0,0,501-M76))</f>
        <v>385</v>
      </c>
      <c r="O76" s="354"/>
      <c r="P76" s="355"/>
      <c r="Q76" s="356"/>
      <c r="R76" s="103"/>
      <c r="S76" s="211"/>
      <c r="U76" s="104">
        <f>IF(AND(S73=1,H73=0),1,IF(COUNT(L76:L80)&gt;2,IF(COUNT(M76:M80)=3,0,1),0))</f>
        <v>1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C76" s="86"/>
      <c r="AH76" s="86"/>
      <c r="AI76" s="86"/>
      <c r="AJ76" s="86"/>
      <c r="AK76" s="86"/>
    </row>
    <row r="77" spans="1:37" s="33" customFormat="1" ht="30.75" customHeight="1">
      <c r="A77" s="367" t="s">
        <v>33</v>
      </c>
      <c r="B77" s="221">
        <v>2</v>
      </c>
      <c r="C77" s="103">
        <v>39</v>
      </c>
      <c r="D77" s="103">
        <v>2</v>
      </c>
      <c r="E77" s="108">
        <f>IF(C77=0," ",IF(C77=0,0,501-D77))</f>
        <v>499</v>
      </c>
      <c r="F77" s="103"/>
      <c r="G77" s="103"/>
      <c r="H77" s="211"/>
      <c r="I77" s="218"/>
      <c r="J77" s="105"/>
      <c r="K77" s="221">
        <v>2</v>
      </c>
      <c r="L77" s="103">
        <v>42</v>
      </c>
      <c r="M77" s="109"/>
      <c r="N77" s="108">
        <f>IF(L77=0," ",IF(L77=0,0,501-M77))</f>
        <v>501</v>
      </c>
      <c r="O77" s="354"/>
      <c r="P77" s="355"/>
      <c r="Q77" s="356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H77" s="86"/>
      <c r="AI77" s="86"/>
      <c r="AJ77" s="86"/>
      <c r="AK77" s="86"/>
    </row>
    <row r="78" spans="1:37" s="33" customFormat="1" ht="30.75" customHeight="1">
      <c r="A78" s="368"/>
      <c r="B78" s="221">
        <v>3</v>
      </c>
      <c r="C78" s="103">
        <v>39</v>
      </c>
      <c r="D78" s="103">
        <v>40</v>
      </c>
      <c r="E78" s="108">
        <f>IF(C78=0," ",IF(C78=0,0,501-D78))</f>
        <v>461</v>
      </c>
      <c r="F78" s="103"/>
      <c r="G78" s="103"/>
      <c r="H78" s="211"/>
      <c r="I78" s="218"/>
      <c r="J78" s="105"/>
      <c r="K78" s="221">
        <v>3</v>
      </c>
      <c r="L78" s="103">
        <v>37</v>
      </c>
      <c r="M78" s="109"/>
      <c r="N78" s="108">
        <f>IF(L78=0," ",IF(L78=0,0,501-M78))</f>
        <v>501</v>
      </c>
      <c r="O78" s="354"/>
      <c r="P78" s="355"/>
      <c r="Q78" s="356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H78" s="86"/>
      <c r="AI78" s="86"/>
      <c r="AJ78" s="86"/>
      <c r="AK78" s="86"/>
    </row>
    <row r="79" spans="1:37" s="33" customFormat="1" ht="30.75" customHeight="1">
      <c r="A79" s="368"/>
      <c r="B79" s="221">
        <v>4</v>
      </c>
      <c r="C79" s="103">
        <v>27</v>
      </c>
      <c r="D79" s="103">
        <v>64</v>
      </c>
      <c r="E79" s="108">
        <f>IF(C79=0," ",IF(C79=0,0,501-D79))</f>
        <v>437</v>
      </c>
      <c r="F79" s="103"/>
      <c r="G79" s="103"/>
      <c r="H79" s="211"/>
      <c r="I79" s="218"/>
      <c r="J79" s="105"/>
      <c r="K79" s="221">
        <v>4</v>
      </c>
      <c r="L79" s="103">
        <v>30</v>
      </c>
      <c r="M79" s="109"/>
      <c r="N79" s="108">
        <f>IF(L79=0," ",IF(L79=0,0,501-M79))</f>
        <v>501</v>
      </c>
      <c r="O79" s="354">
        <v>1</v>
      </c>
      <c r="P79" s="355"/>
      <c r="Q79" s="356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3"/>
      <c r="E80" s="108" t="str">
        <f>IF(C80=0," ",IF(C80=0,0,501-D80))</f>
        <v> </v>
      </c>
      <c r="F80" s="103"/>
      <c r="G80" s="103"/>
      <c r="H80" s="211"/>
      <c r="I80" s="218"/>
      <c r="J80" s="105"/>
      <c r="K80" s="221">
        <v>5</v>
      </c>
      <c r="L80" s="103"/>
      <c r="M80" s="109"/>
      <c r="N80" s="108" t="str">
        <f>IF(L80=0," ",IF(L80=0,0,501-M80))</f>
        <v> </v>
      </c>
      <c r="O80" s="354"/>
      <c r="P80" s="355"/>
      <c r="Q80" s="356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4</v>
      </c>
      <c r="D81" s="231">
        <f>COUNTIF(D76:D80,"&gt;0")</f>
        <v>3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4</v>
      </c>
      <c r="M81" s="231">
        <f>COUNTIF(M76:M80,"&gt;0")</f>
        <v>1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H81" s="86"/>
      <c r="AI81" s="86"/>
      <c r="AJ81" s="86"/>
      <c r="AK81" s="86"/>
    </row>
    <row r="82" spans="1:32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D82" s="33"/>
      <c r="AE82" s="33"/>
      <c r="AF82" s="33"/>
    </row>
    <row r="83" spans="1:37" s="33" customFormat="1" ht="29.25" customHeight="1">
      <c r="A83" s="206"/>
      <c r="B83" s="207" t="s">
        <v>0</v>
      </c>
      <c r="C83" s="360" t="str">
        <f>C22</f>
        <v>Ari Heinonen</v>
      </c>
      <c r="D83" s="360"/>
      <c r="E83" s="360"/>
      <c r="F83" s="360"/>
      <c r="G83" s="360"/>
      <c r="H83" s="236">
        <f>IF(OR(H84="L",C83=0),0,1)</f>
        <v>1</v>
      </c>
      <c r="I83" s="217"/>
      <c r="J83" s="208"/>
      <c r="K83" s="209" t="s">
        <v>0</v>
      </c>
      <c r="L83" s="360" t="str">
        <f>J22</f>
        <v>Tomi Aaltonen</v>
      </c>
      <c r="M83" s="360"/>
      <c r="N83" s="360"/>
      <c r="O83" s="360"/>
      <c r="P83" s="360"/>
      <c r="Q83" s="383"/>
      <c r="R83" s="383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84"/>
      <c r="J84" s="38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7" t="s">
        <v>29</v>
      </c>
      <c r="P85" s="358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35</v>
      </c>
      <c r="D86" s="103"/>
      <c r="E86" s="108">
        <f>IF(C86=0," ",IF(C86=0,0,501-D86))</f>
        <v>501</v>
      </c>
      <c r="F86" s="103">
        <v>2</v>
      </c>
      <c r="G86" s="103"/>
      <c r="H86" s="235">
        <f>IF(AND(H83=1,S83=0),1,IF(COUNT(C86:C90)&gt;2,IF(COUNT(D86:D90)=3,0,1),0))</f>
        <v>1</v>
      </c>
      <c r="I86" s="218"/>
      <c r="J86" s="105"/>
      <c r="K86" s="221">
        <v>1</v>
      </c>
      <c r="L86" s="103">
        <v>36</v>
      </c>
      <c r="M86" s="109">
        <v>12</v>
      </c>
      <c r="N86" s="108">
        <f>IF(L86=0," ",IF(L86=0,0,501-M86))</f>
        <v>489</v>
      </c>
      <c r="O86" s="354"/>
      <c r="P86" s="355"/>
      <c r="Q86" s="356"/>
      <c r="R86" s="103"/>
      <c r="S86" s="211"/>
      <c r="U86" s="104">
        <f>IF(AND(S83=1,H83=0),1,IF(COUNT(L86:L90)&gt;2,IF(COUNT(M86:M90)=3,0,1),0))</f>
        <v>0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C86" s="86"/>
      <c r="AH86" s="86"/>
      <c r="AI86" s="86"/>
      <c r="AJ86" s="86"/>
      <c r="AK86" s="86"/>
    </row>
    <row r="87" spans="1:37" s="33" customFormat="1" ht="30" customHeight="1">
      <c r="A87" s="367" t="s">
        <v>34</v>
      </c>
      <c r="B87" s="221">
        <v>2</v>
      </c>
      <c r="C87" s="103">
        <v>29</v>
      </c>
      <c r="D87" s="103"/>
      <c r="E87" s="108">
        <f>IF(C87=0," ",IF(C87=0,0,501-D87))</f>
        <v>501</v>
      </c>
      <c r="F87" s="103"/>
      <c r="G87" s="103"/>
      <c r="H87" s="233"/>
      <c r="I87" s="218"/>
      <c r="J87" s="105"/>
      <c r="K87" s="221">
        <v>2</v>
      </c>
      <c r="L87" s="103">
        <v>27</v>
      </c>
      <c r="M87" s="109">
        <v>2</v>
      </c>
      <c r="N87" s="108">
        <f>IF(L87=0," ",IF(L87=0,0,501-M87))</f>
        <v>499</v>
      </c>
      <c r="O87" s="354">
        <v>2</v>
      </c>
      <c r="P87" s="355"/>
      <c r="Q87" s="356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H87" s="86"/>
      <c r="AI87" s="86"/>
      <c r="AJ87" s="86"/>
      <c r="AK87" s="86"/>
    </row>
    <row r="88" spans="1:37" s="33" customFormat="1" ht="30" customHeight="1">
      <c r="A88" s="368"/>
      <c r="B88" s="221">
        <v>3</v>
      </c>
      <c r="C88" s="103">
        <v>30</v>
      </c>
      <c r="D88" s="103"/>
      <c r="E88" s="108">
        <f>IF(C88=0," ",IF(C88=0,0,501-D88))</f>
        <v>501</v>
      </c>
      <c r="F88" s="103">
        <v>1</v>
      </c>
      <c r="G88" s="103"/>
      <c r="H88" s="211"/>
      <c r="I88" s="218"/>
      <c r="J88" s="105"/>
      <c r="K88" s="221">
        <v>3</v>
      </c>
      <c r="L88" s="103">
        <v>30</v>
      </c>
      <c r="M88" s="109">
        <v>16</v>
      </c>
      <c r="N88" s="108">
        <f>IF(L88=0," ",IF(L88=0,0,501-M88))</f>
        <v>485</v>
      </c>
      <c r="O88" s="354">
        <v>1</v>
      </c>
      <c r="P88" s="355"/>
      <c r="Q88" s="356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H88" s="86"/>
      <c r="AI88" s="86"/>
      <c r="AJ88" s="86"/>
      <c r="AK88" s="86"/>
    </row>
    <row r="89" spans="1:37" s="33" customFormat="1" ht="30" customHeight="1">
      <c r="A89" s="368"/>
      <c r="B89" s="221">
        <v>4</v>
      </c>
      <c r="C89" s="103"/>
      <c r="D89" s="103"/>
      <c r="E89" s="108" t="str">
        <f>IF(C89=0," ",IF(C89=0,0,501-D89))</f>
        <v> </v>
      </c>
      <c r="F89" s="103"/>
      <c r="G89" s="103"/>
      <c r="H89" s="211"/>
      <c r="I89" s="218"/>
      <c r="J89" s="105"/>
      <c r="K89" s="221">
        <v>4</v>
      </c>
      <c r="L89" s="103"/>
      <c r="M89" s="109"/>
      <c r="N89" s="108" t="str">
        <f>IF(L89=0," ",IF(L89=0,0,501-M89))</f>
        <v> </v>
      </c>
      <c r="O89" s="354"/>
      <c r="P89" s="355"/>
      <c r="Q89" s="356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/>
      <c r="D90" s="103"/>
      <c r="E90" s="108" t="str">
        <f>IF(C90=0," ",IF(C90=0,0,501-D90))</f>
        <v> </v>
      </c>
      <c r="F90" s="103"/>
      <c r="G90" s="103"/>
      <c r="H90" s="211"/>
      <c r="I90" s="218"/>
      <c r="J90" s="105"/>
      <c r="K90" s="221">
        <v>5</v>
      </c>
      <c r="L90" s="103"/>
      <c r="M90" s="109"/>
      <c r="N90" s="108" t="str">
        <f>IF(L90=0," ",IF(L90=0,0,501-M90))</f>
        <v> </v>
      </c>
      <c r="O90" s="354"/>
      <c r="P90" s="355"/>
      <c r="Q90" s="356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3</v>
      </c>
      <c r="D91" s="231">
        <f>COUNTIF(D86:D90,"&gt;0")</f>
        <v>0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3</v>
      </c>
      <c r="M91" s="231">
        <f>COUNTIF(M86:M90,"&gt;0")</f>
        <v>3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H91" s="86"/>
      <c r="AI91" s="86"/>
      <c r="AJ91" s="86"/>
      <c r="AK91" s="86"/>
    </row>
    <row r="92" spans="1:32" s="86" customFormat="1" ht="36" customHeight="1" thickBot="1">
      <c r="A92" s="85"/>
      <c r="B92" s="94" t="s">
        <v>34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AB92" s="305"/>
      <c r="AD92" s="33"/>
      <c r="AE92" s="33"/>
      <c r="AF92" s="33"/>
    </row>
    <row r="93" spans="1:37" s="33" customFormat="1" ht="30" customHeight="1">
      <c r="A93" s="206"/>
      <c r="B93" s="207" t="s">
        <v>0</v>
      </c>
      <c r="C93" s="360" t="str">
        <f>C23</f>
        <v>Jyri Vesalainen</v>
      </c>
      <c r="D93" s="360"/>
      <c r="E93" s="360"/>
      <c r="F93" s="360"/>
      <c r="G93" s="360"/>
      <c r="H93" s="236">
        <f>IF(OR(H94="L",C93=0),0,1)</f>
        <v>1</v>
      </c>
      <c r="I93" s="217"/>
      <c r="J93" s="208"/>
      <c r="K93" s="209" t="s">
        <v>0</v>
      </c>
      <c r="L93" s="360" t="str">
        <f>J23</f>
        <v>Rami Mondolin</v>
      </c>
      <c r="M93" s="360"/>
      <c r="N93" s="360"/>
      <c r="O93" s="360"/>
      <c r="P93" s="360"/>
      <c r="Q93" s="383"/>
      <c r="R93" s="383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84"/>
      <c r="J94" s="38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7" t="s">
        <v>29</v>
      </c>
      <c r="P95" s="358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27</v>
      </c>
      <c r="D96" s="103"/>
      <c r="E96" s="108">
        <f>IF(C96=0," ",IF(C96=0,0,501-D96))</f>
        <v>501</v>
      </c>
      <c r="F96" s="103">
        <v>1</v>
      </c>
      <c r="G96" s="103"/>
      <c r="H96" s="235">
        <f>IF(AND(H93=1,S93=0),1,IF(COUNT(C96:C100)&gt;2,IF(COUNT(D96:D100)=3,0,1),0))</f>
        <v>1</v>
      </c>
      <c r="I96" s="218"/>
      <c r="J96" s="105"/>
      <c r="K96" s="221">
        <v>1</v>
      </c>
      <c r="L96" s="103">
        <v>24</v>
      </c>
      <c r="M96" s="109">
        <v>92</v>
      </c>
      <c r="N96" s="108">
        <f>IF(L96=0," ",IF(L96=0,0,501-M96))</f>
        <v>409</v>
      </c>
      <c r="O96" s="354"/>
      <c r="P96" s="355"/>
      <c r="Q96" s="356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C96" s="86"/>
      <c r="AH96" s="86"/>
      <c r="AI96" s="86"/>
      <c r="AJ96" s="86"/>
      <c r="AK96" s="86"/>
    </row>
    <row r="97" spans="1:37" s="33" customFormat="1" ht="30.75" customHeight="1">
      <c r="A97" s="367" t="s">
        <v>35</v>
      </c>
      <c r="B97" s="221">
        <v>2</v>
      </c>
      <c r="C97" s="103">
        <v>47</v>
      </c>
      <c r="D97" s="103"/>
      <c r="E97" s="108">
        <f>IF(C97=0," ",IF(C97=0,0,501-D97))</f>
        <v>501</v>
      </c>
      <c r="F97" s="103">
        <v>1</v>
      </c>
      <c r="G97" s="103"/>
      <c r="H97" s="233"/>
      <c r="I97" s="218"/>
      <c r="J97" s="105"/>
      <c r="K97" s="221">
        <v>2</v>
      </c>
      <c r="L97" s="103">
        <v>48</v>
      </c>
      <c r="M97" s="109">
        <v>2</v>
      </c>
      <c r="N97" s="108">
        <f>IF(L97=0," ",IF(L97=0,0,501-M97))</f>
        <v>499</v>
      </c>
      <c r="O97" s="354"/>
      <c r="P97" s="355"/>
      <c r="Q97" s="356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H97" s="86"/>
      <c r="AI97" s="86"/>
      <c r="AJ97" s="86"/>
      <c r="AK97" s="86"/>
    </row>
    <row r="98" spans="1:37" s="33" customFormat="1" ht="30.75" customHeight="1">
      <c r="A98" s="368"/>
      <c r="B98" s="221">
        <v>3</v>
      </c>
      <c r="C98" s="103">
        <v>28</v>
      </c>
      <c r="D98" s="103"/>
      <c r="E98" s="108">
        <f>IF(C98=0," ",IF(C98=0,0,501-D98))</f>
        <v>501</v>
      </c>
      <c r="F98" s="103"/>
      <c r="G98" s="103"/>
      <c r="H98" s="211"/>
      <c r="I98" s="218"/>
      <c r="J98" s="105"/>
      <c r="K98" s="221">
        <v>3</v>
      </c>
      <c r="L98" s="103">
        <v>27</v>
      </c>
      <c r="M98" s="109">
        <v>36</v>
      </c>
      <c r="N98" s="108">
        <f>IF(L98=0," ",IF(L98=0,0,501-M98))</f>
        <v>465</v>
      </c>
      <c r="O98" s="354">
        <v>1</v>
      </c>
      <c r="P98" s="355"/>
      <c r="Q98" s="356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H98" s="86"/>
      <c r="AI98" s="86"/>
      <c r="AJ98" s="86"/>
      <c r="AK98" s="86"/>
    </row>
    <row r="99" spans="1:37" s="33" customFormat="1" ht="30.75" customHeight="1">
      <c r="A99" s="368"/>
      <c r="B99" s="221">
        <v>4</v>
      </c>
      <c r="C99" s="103"/>
      <c r="D99" s="103"/>
      <c r="E99" s="108" t="str">
        <f>IF(C99=0," ",IF(C99=0,0,501-D99))</f>
        <v> </v>
      </c>
      <c r="F99" s="103"/>
      <c r="G99" s="103"/>
      <c r="H99" s="211"/>
      <c r="I99" s="218"/>
      <c r="J99" s="105"/>
      <c r="K99" s="221">
        <v>4</v>
      </c>
      <c r="L99" s="103"/>
      <c r="M99" s="109"/>
      <c r="N99" s="108" t="str">
        <f>IF(L99=0," ",IF(L99=0,0,501-M99))</f>
        <v> </v>
      </c>
      <c r="O99" s="354"/>
      <c r="P99" s="355"/>
      <c r="Q99" s="356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3"/>
      <c r="E100" s="108" t="str">
        <f>IF(C100=0," ",IF(C100=0,0,501-D100))</f>
        <v> </v>
      </c>
      <c r="F100" s="103"/>
      <c r="G100" s="103"/>
      <c r="H100" s="211"/>
      <c r="I100" s="218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54"/>
      <c r="P100" s="355"/>
      <c r="Q100" s="356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3</v>
      </c>
      <c r="D101" s="231">
        <f>COUNTIF(D96:D100,"&gt;0")</f>
        <v>0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3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H101" s="86"/>
      <c r="AI101" s="86"/>
      <c r="AJ101" s="86"/>
      <c r="AK101" s="86"/>
    </row>
    <row r="102" spans="1:32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  <c r="AD102" s="33"/>
      <c r="AE102" s="33"/>
      <c r="AF102" s="33"/>
    </row>
    <row r="103" spans="1:37" s="33" customFormat="1" ht="27.75" customHeight="1">
      <c r="A103" s="206"/>
      <c r="B103" s="207" t="s">
        <v>0</v>
      </c>
      <c r="C103" s="360" t="str">
        <f>C24</f>
        <v>Olli-Pekka Kallioniemi</v>
      </c>
      <c r="D103" s="360"/>
      <c r="E103" s="360"/>
      <c r="F103" s="360"/>
      <c r="G103" s="360"/>
      <c r="H103" s="236">
        <f>IF(OR(H104="L",C103=0),0,1)</f>
        <v>1</v>
      </c>
      <c r="I103" s="217"/>
      <c r="J103" s="208"/>
      <c r="K103" s="209" t="s">
        <v>0</v>
      </c>
      <c r="L103" s="360" t="str">
        <f>J24</f>
        <v>Jouni I. Kataja</v>
      </c>
      <c r="M103" s="360"/>
      <c r="N103" s="360"/>
      <c r="O103" s="360"/>
      <c r="P103" s="360"/>
      <c r="Q103" s="383"/>
      <c r="R103" s="383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84"/>
      <c r="J104" s="38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7" t="s">
        <v>29</v>
      </c>
      <c r="P105" s="358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38</v>
      </c>
      <c r="D106" s="103"/>
      <c r="E106" s="108">
        <f>IF(C106=0," ",IF(C106=0,0,501-D106))</f>
        <v>501</v>
      </c>
      <c r="F106" s="103">
        <v>1</v>
      </c>
      <c r="G106" s="103"/>
      <c r="H106" s="235">
        <f>IF(AND(H103=1,S103=0),1,IF(COUNT(C106:C110)&gt;2,IF(COUNT(D106:D110)=3,0,1),0))</f>
        <v>1</v>
      </c>
      <c r="I106" s="218"/>
      <c r="J106" s="105"/>
      <c r="K106" s="221">
        <v>1</v>
      </c>
      <c r="L106" s="103">
        <v>39</v>
      </c>
      <c r="M106" s="109">
        <v>4</v>
      </c>
      <c r="N106" s="108">
        <f>IF(L106=0," ",IF(L106=0,0,501-M106))</f>
        <v>497</v>
      </c>
      <c r="O106" s="354">
        <v>1</v>
      </c>
      <c r="P106" s="355"/>
      <c r="Q106" s="356"/>
      <c r="R106" s="103"/>
      <c r="S106" s="211"/>
      <c r="U106" s="104">
        <f>IF(AND(S103=1,H103=0),1,IF(COUNT(L106:L110)&gt;2,IF(COUNT(M106:M110)=3,0,1),0))</f>
        <v>0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C106" s="86"/>
      <c r="AH106" s="86"/>
      <c r="AI106" s="86"/>
      <c r="AJ106" s="86"/>
      <c r="AK106" s="86"/>
    </row>
    <row r="107" spans="1:37" s="33" customFormat="1" ht="30" customHeight="1">
      <c r="A107" s="367" t="s">
        <v>36</v>
      </c>
      <c r="B107" s="221">
        <v>2</v>
      </c>
      <c r="C107" s="103">
        <v>39</v>
      </c>
      <c r="D107" s="103"/>
      <c r="E107" s="108">
        <f>IF(C107=0," ",IF(C107=0,0,501-D107))</f>
        <v>501</v>
      </c>
      <c r="F107" s="103"/>
      <c r="G107" s="103"/>
      <c r="H107" s="211"/>
      <c r="I107" s="218"/>
      <c r="J107" s="105"/>
      <c r="K107" s="221">
        <v>2</v>
      </c>
      <c r="L107" s="103">
        <v>36</v>
      </c>
      <c r="M107" s="109">
        <v>8</v>
      </c>
      <c r="N107" s="108">
        <f>IF(L107=0," ",IF(L107=0,0,501-M107))</f>
        <v>493</v>
      </c>
      <c r="O107" s="354"/>
      <c r="P107" s="355"/>
      <c r="Q107" s="356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H107" s="86"/>
      <c r="AI107" s="86"/>
      <c r="AJ107" s="86"/>
      <c r="AK107" s="86"/>
    </row>
    <row r="108" spans="1:37" s="33" customFormat="1" ht="30" customHeight="1">
      <c r="A108" s="368"/>
      <c r="B108" s="221">
        <v>3</v>
      </c>
      <c r="C108" s="103">
        <v>27</v>
      </c>
      <c r="D108" s="103">
        <v>18</v>
      </c>
      <c r="E108" s="108">
        <f>IF(C108=0," ",IF(C108=0,0,501-D108))</f>
        <v>483</v>
      </c>
      <c r="F108" s="103">
        <v>1</v>
      </c>
      <c r="G108" s="103"/>
      <c r="H108" s="211"/>
      <c r="I108" s="218"/>
      <c r="J108" s="105"/>
      <c r="K108" s="221">
        <v>3</v>
      </c>
      <c r="L108" s="103">
        <v>30</v>
      </c>
      <c r="M108" s="109"/>
      <c r="N108" s="108">
        <f>IF(L108=0," ",IF(L108=0,0,501-M108))</f>
        <v>501</v>
      </c>
      <c r="O108" s="354"/>
      <c r="P108" s="355"/>
      <c r="Q108" s="356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H108" s="86"/>
      <c r="AI108" s="86"/>
      <c r="AJ108" s="86"/>
      <c r="AK108" s="86"/>
    </row>
    <row r="109" spans="1:37" s="33" customFormat="1" ht="30" customHeight="1">
      <c r="A109" s="368"/>
      <c r="B109" s="221">
        <v>4</v>
      </c>
      <c r="C109" s="103">
        <v>43</v>
      </c>
      <c r="D109" s="103"/>
      <c r="E109" s="108">
        <f>IF(C109=0," ",IF(C109=0,0,501-D109))</f>
        <v>501</v>
      </c>
      <c r="F109" s="103"/>
      <c r="G109" s="103"/>
      <c r="H109" s="211"/>
      <c r="I109" s="218"/>
      <c r="J109" s="105"/>
      <c r="K109" s="221">
        <v>4</v>
      </c>
      <c r="L109" s="103">
        <v>42</v>
      </c>
      <c r="M109" s="109">
        <v>20</v>
      </c>
      <c r="N109" s="108">
        <f>IF(L109=0," ",IF(L109=0,0,501-M109))</f>
        <v>481</v>
      </c>
      <c r="O109" s="354"/>
      <c r="P109" s="355"/>
      <c r="Q109" s="356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3"/>
      <c r="E110" s="108" t="str">
        <f>IF(C110=0," ",IF(C110=0,0,501-D110))</f>
        <v> </v>
      </c>
      <c r="F110" s="103"/>
      <c r="G110" s="103"/>
      <c r="H110" s="211"/>
      <c r="I110" s="218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54"/>
      <c r="P110" s="355"/>
      <c r="Q110" s="356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4</v>
      </c>
      <c r="D111" s="231">
        <f>COUNTIF(D106:D110,"&gt;0")</f>
        <v>1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4</v>
      </c>
      <c r="M111" s="231">
        <f>COUNTIF(M106:M110,"&gt;0")</f>
        <v>3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H111" s="86"/>
      <c r="AI111" s="86"/>
      <c r="AJ111" s="86"/>
      <c r="AK111" s="86"/>
    </row>
    <row r="112" spans="1:32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  <c r="AD112" s="33"/>
      <c r="AE112" s="33"/>
      <c r="AF112" s="33"/>
    </row>
    <row r="113" spans="1:37" s="33" customFormat="1" ht="28.5" customHeight="1">
      <c r="A113" s="206"/>
      <c r="B113" s="207" t="s">
        <v>0</v>
      </c>
      <c r="C113" s="360" t="str">
        <f>C25</f>
        <v>Kari Laine</v>
      </c>
      <c r="D113" s="360"/>
      <c r="E113" s="360"/>
      <c r="F113" s="360"/>
      <c r="G113" s="360"/>
      <c r="H113" s="236">
        <f>IF(OR(H114="L",C113=0),0,1)</f>
        <v>1</v>
      </c>
      <c r="I113" s="217"/>
      <c r="J113" s="208"/>
      <c r="K113" s="209" t="s">
        <v>0</v>
      </c>
      <c r="L113" s="360" t="str">
        <f>J25</f>
        <v>Tomi Aaltonen</v>
      </c>
      <c r="M113" s="360"/>
      <c r="N113" s="360"/>
      <c r="O113" s="360"/>
      <c r="P113" s="360"/>
      <c r="Q113" s="383"/>
      <c r="R113" s="383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84"/>
      <c r="J114" s="38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7" t="s">
        <v>29</v>
      </c>
      <c r="P115" s="358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39</v>
      </c>
      <c r="D116" s="103">
        <v>14</v>
      </c>
      <c r="E116" s="108">
        <f>IF(C116=0," ",IF(C116=0,0,501-D116))</f>
        <v>487</v>
      </c>
      <c r="F116" s="103">
        <v>1</v>
      </c>
      <c r="G116" s="103"/>
      <c r="H116" s="235">
        <f>IF(AND(H113=1,S113=0),1,IF(COUNT(C116:C120)&gt;2,IF(COUNT(D116:D120)=3,0,1),0))</f>
        <v>0</v>
      </c>
      <c r="I116" s="218"/>
      <c r="J116" s="105"/>
      <c r="K116" s="221">
        <v>1</v>
      </c>
      <c r="L116" s="103">
        <v>37</v>
      </c>
      <c r="M116" s="109"/>
      <c r="N116" s="108">
        <f>IF(L116=0," ",IF(L116=0,0,501-M116))</f>
        <v>501</v>
      </c>
      <c r="O116" s="354">
        <v>1</v>
      </c>
      <c r="P116" s="355"/>
      <c r="Q116" s="356"/>
      <c r="R116" s="103"/>
      <c r="S116" s="233"/>
      <c r="U116" s="104">
        <f>IF(AND(S113=1,H113=0),1,IF(COUNT(L116:L120)&gt;2,IF(COUNT(M116:M120)=3,0,1),0))</f>
        <v>1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C116" s="86"/>
      <c r="AH116" s="86"/>
      <c r="AI116" s="86"/>
      <c r="AJ116" s="86"/>
      <c r="AK116" s="86"/>
    </row>
    <row r="117" spans="1:37" s="33" customFormat="1" ht="30" customHeight="1">
      <c r="A117" s="367" t="s">
        <v>37</v>
      </c>
      <c r="B117" s="221">
        <v>2</v>
      </c>
      <c r="C117" s="103">
        <v>24</v>
      </c>
      <c r="D117" s="103">
        <v>174</v>
      </c>
      <c r="E117" s="108">
        <f>IF(C117=0," ",IF(C117=0,0,501-D117))</f>
        <v>327</v>
      </c>
      <c r="F117" s="103"/>
      <c r="G117" s="103"/>
      <c r="H117" s="211"/>
      <c r="I117" s="218"/>
      <c r="J117" s="105"/>
      <c r="K117" s="221">
        <v>2</v>
      </c>
      <c r="L117" s="103">
        <v>27</v>
      </c>
      <c r="M117" s="109"/>
      <c r="N117" s="108">
        <f>IF(L117=0," ",IF(L117=0,0,501-M117))</f>
        <v>501</v>
      </c>
      <c r="O117" s="354"/>
      <c r="P117" s="355"/>
      <c r="Q117" s="356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H117" s="86"/>
      <c r="AI117" s="86"/>
      <c r="AJ117" s="86"/>
      <c r="AK117" s="86"/>
    </row>
    <row r="118" spans="1:37" s="33" customFormat="1" ht="30" customHeight="1">
      <c r="A118" s="368"/>
      <c r="B118" s="221">
        <v>3</v>
      </c>
      <c r="C118" s="103">
        <v>24</v>
      </c>
      <c r="D118" s="103">
        <v>106</v>
      </c>
      <c r="E118" s="108">
        <f>IF(C118=0," ",IF(C118=0,0,501-D118))</f>
        <v>395</v>
      </c>
      <c r="F118" s="103">
        <v>1</v>
      </c>
      <c r="G118" s="103"/>
      <c r="H118" s="211"/>
      <c r="I118" s="218"/>
      <c r="J118" s="105"/>
      <c r="K118" s="221">
        <v>3</v>
      </c>
      <c r="L118" s="103">
        <v>22</v>
      </c>
      <c r="M118" s="109"/>
      <c r="N118" s="108">
        <f>IF(L118=0," ",IF(L118=0,0,501-M118))</f>
        <v>501</v>
      </c>
      <c r="O118" s="354">
        <v>2</v>
      </c>
      <c r="P118" s="355"/>
      <c r="Q118" s="356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H118" s="86"/>
      <c r="AI118" s="86"/>
      <c r="AJ118" s="86"/>
      <c r="AK118" s="86"/>
    </row>
    <row r="119" spans="1:37" s="33" customFormat="1" ht="30" customHeight="1">
      <c r="A119" s="368"/>
      <c r="B119" s="221">
        <v>4</v>
      </c>
      <c r="C119" s="103"/>
      <c r="D119" s="103"/>
      <c r="E119" s="108" t="str">
        <f>IF(C119=0," ",IF(C119=0,0,501-D119))</f>
        <v> </v>
      </c>
      <c r="F119" s="103"/>
      <c r="G119" s="103"/>
      <c r="H119" s="211"/>
      <c r="I119" s="218"/>
      <c r="J119" s="105"/>
      <c r="K119" s="221">
        <v>4</v>
      </c>
      <c r="L119" s="103"/>
      <c r="M119" s="109"/>
      <c r="N119" s="108" t="str">
        <f>IF(L119=0," ",IF(L119=0,0,501-M119))</f>
        <v> </v>
      </c>
      <c r="O119" s="354"/>
      <c r="P119" s="355"/>
      <c r="Q119" s="356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3"/>
      <c r="E120" s="108" t="str">
        <f>IF(C120=0," ",IF(C120=0,0,501-D120))</f>
        <v> </v>
      </c>
      <c r="F120" s="103"/>
      <c r="G120" s="103"/>
      <c r="H120" s="211"/>
      <c r="I120" s="218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54"/>
      <c r="P120" s="355"/>
      <c r="Q120" s="356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H120" s="86"/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3</v>
      </c>
      <c r="D121" s="231">
        <f>COUNTIF(D116:D120,"&gt;0")</f>
        <v>3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3</v>
      </c>
      <c r="M121" s="231">
        <f>COUNTIF(M116:M120,"&gt;0")</f>
        <v>0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H121" s="86"/>
      <c r="AI121" s="86"/>
      <c r="AJ121" s="86"/>
      <c r="AK121" s="86"/>
    </row>
    <row r="122" spans="1:32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D122" s="33"/>
      <c r="AE122" s="33"/>
      <c r="AF122" s="33"/>
    </row>
    <row r="123" spans="1:37" s="33" customFormat="1" ht="29.25" customHeight="1">
      <c r="A123" s="206"/>
      <c r="B123" s="207" t="s">
        <v>0</v>
      </c>
      <c r="C123" s="360" t="str">
        <f>C26</f>
        <v>Ari Heinonen</v>
      </c>
      <c r="D123" s="360"/>
      <c r="E123" s="360"/>
      <c r="F123" s="360"/>
      <c r="G123" s="360"/>
      <c r="H123" s="236">
        <f>IF(OR(H124="L",C123=0),0,1)</f>
        <v>1</v>
      </c>
      <c r="I123" s="217"/>
      <c r="J123" s="208"/>
      <c r="K123" s="209" t="s">
        <v>0</v>
      </c>
      <c r="L123" s="360" t="str">
        <f>J26</f>
        <v>Seppo Makkonen</v>
      </c>
      <c r="M123" s="360"/>
      <c r="N123" s="360"/>
      <c r="O123" s="360"/>
      <c r="P123" s="360"/>
      <c r="Q123" s="383"/>
      <c r="R123" s="383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84"/>
      <c r="J124" s="38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7" t="s">
        <v>29</v>
      </c>
      <c r="P125" s="358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21</v>
      </c>
      <c r="D126" s="103"/>
      <c r="E126" s="108">
        <f>IF(C126=0," ",IF(C126=0,0,501-D126))</f>
        <v>501</v>
      </c>
      <c r="F126" s="103"/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21</v>
      </c>
      <c r="M126" s="109">
        <v>306</v>
      </c>
      <c r="N126" s="108">
        <f>IF(L126=0," ",IF(L126=0,0,501-M126))</f>
        <v>195</v>
      </c>
      <c r="O126" s="410"/>
      <c r="P126" s="411"/>
      <c r="Q126" s="412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C126" s="86"/>
      <c r="AH126" s="86"/>
      <c r="AI126" s="86"/>
      <c r="AJ126" s="86"/>
      <c r="AK126" s="86"/>
    </row>
    <row r="127" spans="1:37" s="33" customFormat="1" ht="30" customHeight="1">
      <c r="A127" s="367" t="s">
        <v>38</v>
      </c>
      <c r="B127" s="221">
        <v>2</v>
      </c>
      <c r="C127" s="103">
        <v>36</v>
      </c>
      <c r="D127" s="103"/>
      <c r="E127" s="108">
        <f>IF(C127=0," ",IF(C127=0,0,501-D127))</f>
        <v>501</v>
      </c>
      <c r="F127" s="103"/>
      <c r="G127" s="103"/>
      <c r="H127" s="211"/>
      <c r="I127" s="218"/>
      <c r="J127" s="105"/>
      <c r="K127" s="221">
        <v>2</v>
      </c>
      <c r="L127" s="109">
        <v>33</v>
      </c>
      <c r="M127" s="109">
        <v>20</v>
      </c>
      <c r="N127" s="108">
        <f>IF(L127=0," ",IF(L127=0,0,501-M127))</f>
        <v>481</v>
      </c>
      <c r="O127" s="410"/>
      <c r="P127" s="411"/>
      <c r="Q127" s="412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H127" s="86"/>
      <c r="AI127" s="86"/>
      <c r="AJ127" s="86"/>
      <c r="AK127" s="86"/>
    </row>
    <row r="128" spans="1:37" s="33" customFormat="1" ht="30" customHeight="1">
      <c r="A128" s="368"/>
      <c r="B128" s="221">
        <v>3</v>
      </c>
      <c r="C128" s="103">
        <v>30</v>
      </c>
      <c r="D128" s="103"/>
      <c r="E128" s="108">
        <f>IF(C128=0," ",IF(C128=0,0,501-D128))</f>
        <v>501</v>
      </c>
      <c r="F128" s="103">
        <v>1</v>
      </c>
      <c r="G128" s="103"/>
      <c r="H128" s="211"/>
      <c r="I128" s="218"/>
      <c r="J128" s="105"/>
      <c r="K128" s="221">
        <v>3</v>
      </c>
      <c r="L128" s="109">
        <v>30</v>
      </c>
      <c r="M128" s="109">
        <v>99</v>
      </c>
      <c r="N128" s="108">
        <f>IF(L128=0," ",IF(L128=0,0,501-M128))</f>
        <v>402</v>
      </c>
      <c r="O128" s="410"/>
      <c r="P128" s="411"/>
      <c r="Q128" s="412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H128" s="86"/>
      <c r="AI128" s="86"/>
      <c r="AJ128" s="86"/>
      <c r="AK128" s="86"/>
    </row>
    <row r="129" spans="1:37" s="33" customFormat="1" ht="30" customHeight="1">
      <c r="A129" s="368"/>
      <c r="B129" s="221">
        <v>4</v>
      </c>
      <c r="C129" s="103"/>
      <c r="D129" s="103"/>
      <c r="E129" s="108" t="str">
        <f>IF(C129=0," ",IF(C129=0,0,501-D129))</f>
        <v> </v>
      </c>
      <c r="F129" s="103"/>
      <c r="G129" s="103"/>
      <c r="H129" s="211"/>
      <c r="I129" s="218"/>
      <c r="J129" s="105"/>
      <c r="K129" s="221">
        <v>4</v>
      </c>
      <c r="L129" s="109"/>
      <c r="M129" s="109"/>
      <c r="N129" s="108" t="str">
        <f>IF(L129=0," ",IF(L129=0,0,501-M129))</f>
        <v> </v>
      </c>
      <c r="O129" s="410"/>
      <c r="P129" s="411"/>
      <c r="Q129" s="412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3"/>
      <c r="E130" s="108" t="str">
        <f>IF(C130=0," ",IF(C130=0,0,501-D130))</f>
        <v> </v>
      </c>
      <c r="F130" s="103"/>
      <c r="G130" s="103"/>
      <c r="H130" s="211"/>
      <c r="I130" s="218"/>
      <c r="J130" s="105"/>
      <c r="K130" s="221">
        <v>5</v>
      </c>
      <c r="L130" s="109"/>
      <c r="M130" s="109"/>
      <c r="N130" s="108" t="str">
        <f>IF(L130=0," ",IF(L130=0,0,501-M130))</f>
        <v> </v>
      </c>
      <c r="O130" s="410"/>
      <c r="P130" s="411"/>
      <c r="Q130" s="412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H130" s="86"/>
      <c r="AI130" s="86"/>
      <c r="AJ130" s="86"/>
      <c r="AK130" s="86"/>
    </row>
    <row r="131" spans="1:32" s="86" customFormat="1" ht="27.75" customHeight="1" thickBot="1">
      <c r="A131" s="212"/>
      <c r="C131" s="231">
        <f>COUNTIF(C126:C130,"&gt;0")</f>
        <v>3</v>
      </c>
      <c r="D131" s="231">
        <f>COUNTIF(D126:D130,"&gt;0")</f>
        <v>0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3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D131" s="33"/>
      <c r="AE131" s="33"/>
      <c r="AF131" s="33"/>
    </row>
    <row r="132" spans="1:32" s="86" customFormat="1" ht="15">
      <c r="A132" s="85"/>
      <c r="B132" s="94" t="s">
        <v>38</v>
      </c>
      <c r="I132" s="93"/>
      <c r="J132" s="93"/>
      <c r="K132" s="93"/>
      <c r="L132" s="93"/>
      <c r="M132" s="93"/>
      <c r="T132" s="33"/>
      <c r="V132" s="305"/>
      <c r="AB132" s="305"/>
      <c r="AD132" s="33"/>
      <c r="AE132" s="33"/>
      <c r="AF132" s="33"/>
    </row>
    <row r="133" spans="1:32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D133" s="33"/>
      <c r="AE133" s="33"/>
      <c r="AF133" s="33"/>
    </row>
    <row r="134" spans="1:32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D134" s="33"/>
      <c r="AE134" s="33"/>
      <c r="AF134" s="33"/>
    </row>
    <row r="135" spans="1:32" s="86" customFormat="1" ht="15.75" thickBot="1">
      <c r="A135" s="85"/>
      <c r="I135" s="93"/>
      <c r="J135" s="93"/>
      <c r="K135" s="93"/>
      <c r="L135" s="93"/>
      <c r="M135" s="93"/>
      <c r="T135" s="33"/>
      <c r="V135" s="305"/>
      <c r="AB135" s="305"/>
      <c r="AD135" s="33"/>
      <c r="AE135" s="33"/>
      <c r="AF135" s="33"/>
    </row>
    <row r="136" spans="1:32" s="86" customFormat="1" ht="21.75" customHeight="1">
      <c r="A136" s="206"/>
      <c r="B136" s="207" t="s">
        <v>0</v>
      </c>
      <c r="C136" s="360" t="str">
        <f>C27</f>
        <v>Kukon Tikka 3</v>
      </c>
      <c r="D136" s="413"/>
      <c r="E136" s="413"/>
      <c r="F136" s="413"/>
      <c r="G136" s="413"/>
      <c r="H136" s="236">
        <f>IF(OR(H137="L",C136=0),0,1)</f>
        <v>1</v>
      </c>
      <c r="I136" s="217"/>
      <c r="J136" s="208"/>
      <c r="K136" s="209" t="s">
        <v>0</v>
      </c>
      <c r="L136" s="360" t="str">
        <f>J27</f>
        <v>Satatikka 2</v>
      </c>
      <c r="M136" s="413"/>
      <c r="N136" s="413"/>
      <c r="O136" s="413"/>
      <c r="P136" s="413"/>
      <c r="Q136" s="414"/>
      <c r="R136" s="414"/>
      <c r="S136" s="232">
        <f>IF(OR(I137="L",L136=0),0,1)</f>
        <v>1</v>
      </c>
      <c r="T136" s="33"/>
      <c r="V136" s="305"/>
      <c r="AB136" s="305"/>
      <c r="AD136" s="33"/>
      <c r="AE136" s="33"/>
      <c r="AF136" s="33"/>
    </row>
    <row r="137" spans="1:32" s="86" customFormat="1" ht="15">
      <c r="A137" s="210"/>
      <c r="B137" s="44"/>
      <c r="C137" s="44"/>
      <c r="D137" s="44"/>
      <c r="E137" s="44"/>
      <c r="F137" s="44"/>
      <c r="G137" s="44"/>
      <c r="H137" s="250"/>
      <c r="I137" s="384"/>
      <c r="J137" s="38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D137" s="33"/>
      <c r="AE137" s="33"/>
      <c r="AF137" s="33"/>
    </row>
    <row r="138" spans="1:32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7" t="s">
        <v>29</v>
      </c>
      <c r="P138" s="358"/>
      <c r="Q138" s="102"/>
      <c r="R138" s="100" t="s">
        <v>30</v>
      </c>
      <c r="S138" s="211"/>
      <c r="T138" s="33"/>
      <c r="V138" s="305"/>
      <c r="AB138" s="305"/>
      <c r="AD138" s="33"/>
      <c r="AE138" s="33"/>
      <c r="AF138" s="33"/>
    </row>
    <row r="139" spans="1:32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410"/>
      <c r="P139" s="411"/>
      <c r="Q139" s="412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D139" s="33"/>
      <c r="AE139" s="33"/>
      <c r="AF139" s="33"/>
    </row>
    <row r="140" spans="1:32" s="86" customFormat="1" ht="30.75" customHeight="1">
      <c r="A140" s="367" t="s">
        <v>24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410"/>
      <c r="P140" s="411"/>
      <c r="Q140" s="412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</row>
    <row r="141" spans="1:32" s="86" customFormat="1" ht="30.75" customHeight="1">
      <c r="A141" s="368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410"/>
      <c r="P141" s="411"/>
      <c r="Q141" s="412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</row>
    <row r="142" spans="1:32" s="86" customFormat="1" ht="30.75" customHeight="1">
      <c r="A142" s="368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410"/>
      <c r="P142" s="411"/>
      <c r="Q142" s="412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</row>
    <row r="143" spans="1:32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410"/>
      <c r="P143" s="411"/>
      <c r="Q143" s="412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</row>
    <row r="144" spans="1:32" s="86" customFormat="1" ht="15.7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  <c r="AD144" s="33"/>
      <c r="AE144" s="33"/>
      <c r="AF144" s="33"/>
    </row>
    <row r="145" spans="1:32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</row>
    <row r="146" spans="1:32" s="86" customFormat="1" ht="15">
      <c r="A146" s="85"/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</row>
    <row r="147" spans="1:37" s="33" customFormat="1" ht="123.75" customHeight="1">
      <c r="A147" s="263" t="s">
        <v>69</v>
      </c>
      <c r="B147" s="291"/>
      <c r="C147" s="291"/>
      <c r="D147" s="297" t="s">
        <v>27</v>
      </c>
      <c r="E147" s="297" t="s">
        <v>61</v>
      </c>
      <c r="F147" s="297" t="s">
        <v>58</v>
      </c>
      <c r="G147" s="297" t="s">
        <v>28</v>
      </c>
      <c r="H147" s="297" t="s">
        <v>8</v>
      </c>
      <c r="I147" s="297"/>
      <c r="J147" s="297" t="s">
        <v>60</v>
      </c>
      <c r="K147" s="297" t="s">
        <v>59</v>
      </c>
      <c r="L147" s="297" t="s">
        <v>39</v>
      </c>
      <c r="M147" s="297" t="s">
        <v>40</v>
      </c>
      <c r="N147" s="297" t="s">
        <v>41</v>
      </c>
      <c r="O147" s="297" t="s">
        <v>42</v>
      </c>
      <c r="P147" s="297"/>
      <c r="Q147" s="298"/>
      <c r="R147" s="240"/>
      <c r="S147" s="240"/>
      <c r="T147" s="117"/>
      <c r="U147" s="117"/>
      <c r="V147" s="307"/>
      <c r="AH147" s="86"/>
      <c r="AI147" s="86"/>
      <c r="AJ147" s="86"/>
      <c r="AK147" s="86"/>
    </row>
    <row r="148" spans="1:37" s="33" customFormat="1" ht="24.75" customHeight="1">
      <c r="A148" s="434" t="str">
        <f>C13</f>
        <v>Jyri Vesalainen</v>
      </c>
      <c r="B148" s="435"/>
      <c r="C148" s="435"/>
      <c r="D148" s="292">
        <f>SUM(C56:C60,C96:C100)</f>
        <v>182</v>
      </c>
      <c r="E148" s="292">
        <f>SUM(C61,C101)</f>
        <v>6</v>
      </c>
      <c r="F148" s="292">
        <f>SUM(D61,D101)</f>
        <v>0</v>
      </c>
      <c r="G148" s="292">
        <f>SUM(D56:D60,D96:D100)</f>
        <v>0</v>
      </c>
      <c r="H148" s="436">
        <f>SUM(E56:E60,E96:E100)</f>
        <v>3006</v>
      </c>
      <c r="I148" s="436"/>
      <c r="J148" s="292">
        <f>SUM(H56,H96)</f>
        <v>2</v>
      </c>
      <c r="K148" s="292">
        <f>E148-F148</f>
        <v>6</v>
      </c>
      <c r="L148" s="292">
        <f>SUM(F56:F60,F96:F100)</f>
        <v>3</v>
      </c>
      <c r="M148" s="292">
        <f>SUM(G56:G60,G96:G100)</f>
        <v>0</v>
      </c>
      <c r="N148" s="293">
        <f>H148/D148</f>
        <v>16.516483516483518</v>
      </c>
      <c r="O148" s="437">
        <f>(L148+M148)/E148</f>
        <v>0.5</v>
      </c>
      <c r="P148" s="437"/>
      <c r="Q148" s="437"/>
      <c r="R148" s="290"/>
      <c r="S148" s="117"/>
      <c r="T148" s="117"/>
      <c r="U148" s="117"/>
      <c r="V148" s="307"/>
      <c r="AH148" s="86"/>
      <c r="AI148" s="86"/>
      <c r="AJ148" s="86"/>
      <c r="AK148" s="86"/>
    </row>
    <row r="149" spans="1:37" s="33" customFormat="1" ht="24.75" customHeight="1">
      <c r="A149" s="434" t="str">
        <f>C14</f>
        <v>Olli-Pekka Kallioniemi</v>
      </c>
      <c r="B149" s="435"/>
      <c r="C149" s="435"/>
      <c r="D149" s="292">
        <f>SUM(C66:C70,C106:C110)</f>
        <v>291</v>
      </c>
      <c r="E149" s="292">
        <f>SUM(C71,C111)</f>
        <v>9</v>
      </c>
      <c r="F149" s="292">
        <f>SUM(D71,D111)</f>
        <v>3</v>
      </c>
      <c r="G149" s="292">
        <f>SUM(D66:D70,D106:D110)</f>
        <v>32</v>
      </c>
      <c r="H149" s="436">
        <f>SUM(E66:E70,E106:E110)</f>
        <v>4477</v>
      </c>
      <c r="I149" s="436"/>
      <c r="J149" s="292">
        <f>SUM(H66,H106)</f>
        <v>2</v>
      </c>
      <c r="K149" s="292">
        <f aca="true" t="shared" si="4" ref="K149:K155">E149-F149</f>
        <v>6</v>
      </c>
      <c r="L149" s="292">
        <f>SUM(F66:F70,F106:F110)</f>
        <v>6</v>
      </c>
      <c r="M149" s="292">
        <f>SUM(G66:G70,G106:G110)</f>
        <v>0</v>
      </c>
      <c r="N149" s="293">
        <f aca="true" t="shared" si="5" ref="N149:N155">H149/D149</f>
        <v>15.384879725085911</v>
      </c>
      <c r="O149" s="437">
        <f aca="true" t="shared" si="6" ref="O149:O155">(L149+M149)/E149</f>
        <v>0.6666666666666666</v>
      </c>
      <c r="P149" s="437"/>
      <c r="Q149" s="437"/>
      <c r="R149" s="290"/>
      <c r="S149" s="117"/>
      <c r="T149" s="117"/>
      <c r="U149" s="240"/>
      <c r="V149" s="307"/>
      <c r="AH149" s="86"/>
      <c r="AI149" s="86"/>
      <c r="AJ149" s="86"/>
      <c r="AK149" s="86"/>
    </row>
    <row r="150" spans="1:37" s="33" customFormat="1" ht="24.75" customHeight="1">
      <c r="A150" s="434" t="str">
        <f>C15</f>
        <v>Kari Laine</v>
      </c>
      <c r="B150" s="435"/>
      <c r="C150" s="435"/>
      <c r="D150" s="292">
        <f>SUM(C76:C80,C116:C120)</f>
        <v>230</v>
      </c>
      <c r="E150" s="292">
        <f>SUM(C81,C121)</f>
        <v>7</v>
      </c>
      <c r="F150" s="292">
        <f>SUM(D81,D121)</f>
        <v>6</v>
      </c>
      <c r="G150" s="292">
        <f>SUM(D76:D80,D116:D120)</f>
        <v>400</v>
      </c>
      <c r="H150" s="436">
        <f>SUM(E76:E80,E116:E120)</f>
        <v>3107</v>
      </c>
      <c r="I150" s="436"/>
      <c r="J150" s="292">
        <f>SUM(H76,H116)</f>
        <v>0</v>
      </c>
      <c r="K150" s="292">
        <f t="shared" si="4"/>
        <v>1</v>
      </c>
      <c r="L150" s="292">
        <f>SUM(F76:F80,F116:F120)</f>
        <v>2</v>
      </c>
      <c r="M150" s="292">
        <f>SUM(G76:G80,G116:G120)</f>
        <v>0</v>
      </c>
      <c r="N150" s="293">
        <f t="shared" si="5"/>
        <v>13.508695652173913</v>
      </c>
      <c r="O150" s="437">
        <f t="shared" si="6"/>
        <v>0.2857142857142857</v>
      </c>
      <c r="P150" s="437"/>
      <c r="Q150" s="437"/>
      <c r="R150" s="290"/>
      <c r="S150" s="117"/>
      <c r="T150" s="117"/>
      <c r="U150" s="240"/>
      <c r="V150" s="307"/>
      <c r="AH150" s="86"/>
      <c r="AI150" s="86"/>
      <c r="AJ150" s="86"/>
      <c r="AK150" s="86"/>
    </row>
    <row r="151" spans="1:37" s="33" customFormat="1" ht="24.75" customHeight="1">
      <c r="A151" s="434" t="str">
        <f>C16</f>
        <v>Ari Heinonen</v>
      </c>
      <c r="B151" s="435"/>
      <c r="C151" s="435"/>
      <c r="D151" s="292">
        <f>SUM(C86:C90,C126:C130)</f>
        <v>181</v>
      </c>
      <c r="E151" s="292">
        <f>SUM(C91,C131)</f>
        <v>6</v>
      </c>
      <c r="F151" s="292">
        <f>SUM(D91,D131)</f>
        <v>0</v>
      </c>
      <c r="G151" s="292">
        <f>SUM(D86:D90,D126:D130)</f>
        <v>0</v>
      </c>
      <c r="H151" s="436">
        <f>SUM(E86:E90,E126:E130)</f>
        <v>3006</v>
      </c>
      <c r="I151" s="436"/>
      <c r="J151" s="292">
        <f>SUM(H86,H126)</f>
        <v>2</v>
      </c>
      <c r="K151" s="292">
        <f t="shared" si="4"/>
        <v>6</v>
      </c>
      <c r="L151" s="292">
        <f>SUM(F86:F90,F126:F130)</f>
        <v>4</v>
      </c>
      <c r="M151" s="292">
        <f>SUM(G86:G90,G126:G130)</f>
        <v>0</v>
      </c>
      <c r="N151" s="293">
        <f t="shared" si="5"/>
        <v>16.607734806629836</v>
      </c>
      <c r="O151" s="437">
        <f t="shared" si="6"/>
        <v>0.6666666666666666</v>
      </c>
      <c r="P151" s="437"/>
      <c r="Q151" s="437"/>
      <c r="R151" s="290"/>
      <c r="S151" s="117"/>
      <c r="T151" s="117"/>
      <c r="U151" s="240"/>
      <c r="V151" s="307"/>
      <c r="AH151" s="86"/>
      <c r="AI151" s="86"/>
      <c r="AJ151" s="86"/>
      <c r="AK151" s="86"/>
    </row>
    <row r="152" spans="1:37" s="33" customFormat="1" ht="24.75" customHeight="1">
      <c r="A152" s="434" t="str">
        <f>O13</f>
        <v>Rami Mondolin</v>
      </c>
      <c r="B152" s="435"/>
      <c r="C152" s="435"/>
      <c r="D152" s="292">
        <f>IF($M$6="x",SUM(L56:L60,L116:L120),SUM(L66:L70,L96:L100))</f>
        <v>245</v>
      </c>
      <c r="E152" s="292">
        <f>IF($M$6="x",SUM(L61,L121),SUM(L71,L101))</f>
        <v>8</v>
      </c>
      <c r="F152" s="292">
        <f>IF($M$6="x",SUM(M61,M121),SUM(M71,M101))</f>
        <v>6</v>
      </c>
      <c r="G152" s="292">
        <f>IF($M$6="x",SUM(M56:M60,M116:M120),SUM(M66:M70,M96:M100))</f>
        <v>374</v>
      </c>
      <c r="H152" s="436">
        <f>IF($M$6="x",SUM(N56:N60,N116:N120),SUM(N66:N70,N96:N100))</f>
        <v>3634</v>
      </c>
      <c r="I152" s="436"/>
      <c r="J152" s="292">
        <f>IF($M$6="x",SUM(U56,U116),SUM(U66,U96))</f>
        <v>0</v>
      </c>
      <c r="K152" s="292">
        <f t="shared" si="4"/>
        <v>2</v>
      </c>
      <c r="L152" s="292">
        <f>IF($M$6="x",SUM(O56:Q60,O116:Q120),SUM(O66:Q70,O96:Q100))</f>
        <v>2</v>
      </c>
      <c r="M152" s="292">
        <f>IF($M$6="x",SUM(R56:R60,R116:R120),SUM(R66:R70,R96:R100))</f>
        <v>0</v>
      </c>
      <c r="N152" s="293">
        <f t="shared" si="5"/>
        <v>14.83265306122449</v>
      </c>
      <c r="O152" s="437">
        <f t="shared" si="6"/>
        <v>0.25</v>
      </c>
      <c r="P152" s="437"/>
      <c r="Q152" s="437"/>
      <c r="R152" s="290"/>
      <c r="S152" s="117"/>
      <c r="T152" s="117"/>
      <c r="U152" s="240"/>
      <c r="V152" s="307"/>
      <c r="AH152" s="86"/>
      <c r="AI152" s="86"/>
      <c r="AJ152" s="86"/>
      <c r="AK152" s="86"/>
    </row>
    <row r="153" spans="1:37" s="33" customFormat="1" ht="24.75" customHeight="1">
      <c r="A153" s="434" t="str">
        <f>O14</f>
        <v>Jouni I. Kataja</v>
      </c>
      <c r="B153" s="435"/>
      <c r="C153" s="435"/>
      <c r="D153" s="292">
        <f>IF($M$6="x",SUM(L66:L70,L96:L100),SUM(L56:L60,L106:L110))</f>
        <v>225</v>
      </c>
      <c r="E153" s="292">
        <f>IF($M$6="x",SUM(L71,L101),SUM(L61,L111))</f>
        <v>7</v>
      </c>
      <c r="F153" s="292">
        <f>IF($M$6="x",SUM(M71,M101),SUM(M61,M111))</f>
        <v>6</v>
      </c>
      <c r="G153" s="292">
        <f>IF($M$6="x",SUM(M66:M70,M96:M100),SUM(M56:M60,M106:M110))</f>
        <v>240</v>
      </c>
      <c r="H153" s="436">
        <f>IF($M$6="x",SUM(N66:N70,N96:N100),SUM(N56:N60,N106:N110))</f>
        <v>3267</v>
      </c>
      <c r="I153" s="436"/>
      <c r="J153" s="292">
        <f>IF($M$6="x",SUM(U66,U96),SUM(U56,U106))</f>
        <v>0</v>
      </c>
      <c r="K153" s="292">
        <f t="shared" si="4"/>
        <v>1</v>
      </c>
      <c r="L153" s="292">
        <f>IF($M$6="x",SUM(O66:Q70,O96:Q100),SUM(O56:Q60,O106:Q110))</f>
        <v>5</v>
      </c>
      <c r="M153" s="292">
        <f>IF($M$6="x",SUM(R66:R70,R96:R100),SUM(R56:R60,R106:R110))</f>
        <v>0</v>
      </c>
      <c r="N153" s="293">
        <f t="shared" si="5"/>
        <v>14.52</v>
      </c>
      <c r="O153" s="437">
        <f t="shared" si="6"/>
        <v>0.7142857142857143</v>
      </c>
      <c r="P153" s="437"/>
      <c r="Q153" s="437"/>
      <c r="R153" s="290"/>
      <c r="S153" s="117"/>
      <c r="T153" s="117"/>
      <c r="U153" s="240"/>
      <c r="V153" s="307"/>
      <c r="AH153" s="86"/>
      <c r="AI153" s="86"/>
      <c r="AJ153" s="86"/>
      <c r="AK153" s="86"/>
    </row>
    <row r="154" spans="1:37" s="33" customFormat="1" ht="24.75" customHeight="1">
      <c r="A154" s="434" t="str">
        <f>O15</f>
        <v>Tomi Aaltonen</v>
      </c>
      <c r="B154" s="435"/>
      <c r="C154" s="435"/>
      <c r="D154" s="292">
        <f>IF($M$6="x",SUM(L76:L80,L106:L110),SUM(L86:L90,L116:L120))</f>
        <v>179</v>
      </c>
      <c r="E154" s="292">
        <f>IF($M$6="x",SUM(L81,L111),SUM(L91,L121))</f>
        <v>6</v>
      </c>
      <c r="F154" s="292">
        <f>IF($M$6="x",SUM(M81,M111),SUM(M91,M121))</f>
        <v>3</v>
      </c>
      <c r="G154" s="292">
        <f>IF($M$6="x",SUM(M76:M80,M106:M110),SUM(M86:M90,M116:M120))</f>
        <v>30</v>
      </c>
      <c r="H154" s="436">
        <f>IF($M$6="x",SUM(N76:N80,N106:N110),SUM(N86:N90,N116:N120))</f>
        <v>2976</v>
      </c>
      <c r="I154" s="436"/>
      <c r="J154" s="292">
        <f>IF($M$6="x",SUM(U76,U106),SUM(U86,U116))</f>
        <v>1</v>
      </c>
      <c r="K154" s="292">
        <f t="shared" si="4"/>
        <v>3</v>
      </c>
      <c r="L154" s="292">
        <f>IF($M$6="x",SUM(O76:Q80,O106:Q110),SUM(O86:Q90,O116:Q120))</f>
        <v>6</v>
      </c>
      <c r="M154" s="292">
        <f>IF($M$6="x",SUM(R76:R80,R106:R110),SUM(R86:R90,R116:R120))</f>
        <v>0</v>
      </c>
      <c r="N154" s="293">
        <f t="shared" si="5"/>
        <v>16.625698324022345</v>
      </c>
      <c r="O154" s="437">
        <f t="shared" si="6"/>
        <v>1</v>
      </c>
      <c r="P154" s="437"/>
      <c r="Q154" s="437"/>
      <c r="R154" s="290"/>
      <c r="S154" s="117"/>
      <c r="T154" s="117"/>
      <c r="U154" s="240"/>
      <c r="V154" s="307"/>
      <c r="Y154" s="44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434" t="str">
        <f>O16</f>
        <v>Seppo Makkonen</v>
      </c>
      <c r="B155" s="435"/>
      <c r="C155" s="435"/>
      <c r="D155" s="292">
        <f>IF($M$6="x",SUM(L86:L90,L126:L130),SUM(L76:L80,L126:L130))</f>
        <v>229</v>
      </c>
      <c r="E155" s="292">
        <f>IF($M$6="x",SUM(L91,L131),SUM(L81,L131))</f>
        <v>7</v>
      </c>
      <c r="F155" s="292">
        <f>IF($M$6="x",SUM(M91,M131),SUM(M81,M131))</f>
        <v>4</v>
      </c>
      <c r="G155" s="292">
        <f>IF($M$6="x",SUM(M86:M90,M126:M130),SUM(M76:M80,M126:M130))</f>
        <v>541</v>
      </c>
      <c r="H155" s="436">
        <f>IF($M$6="x",SUM(N86:N90,N126:N130),SUM(N76:N80,N126:N130))</f>
        <v>2966</v>
      </c>
      <c r="I155" s="436"/>
      <c r="J155" s="292">
        <f>IF($M$6="x",SUM(U86,U126),SUM(U76,U126))</f>
        <v>1</v>
      </c>
      <c r="K155" s="292">
        <f t="shared" si="4"/>
        <v>3</v>
      </c>
      <c r="L155" s="292">
        <f>IF($M$6="x",SUM(O86:Q90,O126:Q130),SUM(O76:Q80,O126:Q130))</f>
        <v>1</v>
      </c>
      <c r="M155" s="292">
        <f>IF($M$6="x",SUM(R86:R90,R126:R130),SUM(R76:R80,R126:R130))</f>
        <v>0</v>
      </c>
      <c r="N155" s="293">
        <f t="shared" si="5"/>
        <v>12.951965065502183</v>
      </c>
      <c r="O155" s="437">
        <f t="shared" si="6"/>
        <v>0.14285714285714285</v>
      </c>
      <c r="P155" s="437"/>
      <c r="Q155" s="437"/>
      <c r="R155" s="290"/>
      <c r="S155" s="117"/>
      <c r="T155" s="117"/>
      <c r="U155" s="240"/>
      <c r="V155" s="3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240"/>
      <c r="B156" s="240"/>
      <c r="C156" s="240"/>
      <c r="D156" s="241"/>
      <c r="E156" s="240"/>
      <c r="F156" s="240"/>
      <c r="G156" s="240"/>
      <c r="H156" s="240"/>
      <c r="I156" s="242"/>
      <c r="J156" s="242"/>
      <c r="K156" s="242"/>
      <c r="L156" s="242"/>
      <c r="M156" s="242"/>
      <c r="N156" s="240"/>
      <c r="O156" s="240"/>
      <c r="P156" s="240"/>
      <c r="Q156" s="240"/>
      <c r="R156" s="240"/>
      <c r="S156" s="240"/>
      <c r="T156" s="240"/>
      <c r="U156" s="240"/>
      <c r="V156" s="3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240"/>
      <c r="B157" s="240"/>
      <c r="C157" s="240"/>
      <c r="D157" s="240"/>
      <c r="E157" s="240"/>
      <c r="F157" s="240"/>
      <c r="G157" s="240"/>
      <c r="H157" s="240"/>
      <c r="I157" s="242"/>
      <c r="J157" s="242"/>
      <c r="K157" s="242"/>
      <c r="L157" s="242"/>
      <c r="M157" s="242"/>
      <c r="N157" s="240"/>
      <c r="O157" s="240"/>
      <c r="P157" s="240"/>
      <c r="Q157" s="240"/>
      <c r="R157" s="240"/>
      <c r="S157" s="240"/>
      <c r="T157" s="240"/>
      <c r="U157" s="240"/>
      <c r="V157" s="240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240"/>
      <c r="B158" s="240"/>
      <c r="C158" s="240"/>
      <c r="D158" s="240"/>
      <c r="E158" s="240"/>
      <c r="F158" s="240"/>
      <c r="G158" s="240"/>
      <c r="H158" s="240"/>
      <c r="I158" s="242"/>
      <c r="J158" s="242"/>
      <c r="K158" s="242"/>
      <c r="L158" s="242"/>
      <c r="M158" s="242"/>
      <c r="N158" s="240"/>
      <c r="O158" s="240"/>
      <c r="P158" s="240"/>
      <c r="Q158" s="240"/>
      <c r="R158" s="240"/>
      <c r="S158" s="240"/>
      <c r="T158" s="240"/>
      <c r="U158" s="240"/>
      <c r="V158" s="240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40"/>
      <c r="B159" s="240"/>
      <c r="C159" s="240"/>
      <c r="D159" s="240"/>
      <c r="E159" s="240"/>
      <c r="F159" s="240"/>
      <c r="G159" s="240"/>
      <c r="H159" s="240"/>
      <c r="I159" s="242"/>
      <c r="J159" s="242"/>
      <c r="K159" s="242"/>
      <c r="L159" s="242"/>
      <c r="M159" s="242"/>
      <c r="N159" s="240"/>
      <c r="O159" s="240"/>
      <c r="P159" s="240"/>
      <c r="Q159" s="240"/>
      <c r="R159" s="240"/>
      <c r="S159" s="240"/>
      <c r="T159" s="240"/>
      <c r="U159" s="240"/>
      <c r="V159" s="240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13" s="86" customFormat="1" ht="15">
      <c r="A165" s="85"/>
      <c r="I165" s="93"/>
      <c r="J165" s="93"/>
      <c r="K165" s="93"/>
      <c r="L165" s="93"/>
      <c r="M165" s="93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9">
    <mergeCell ref="O143:Q143"/>
    <mergeCell ref="O138:P138"/>
    <mergeCell ref="O139:Q139"/>
    <mergeCell ref="A140:A142"/>
    <mergeCell ref="O140:Q140"/>
    <mergeCell ref="O141:Q141"/>
    <mergeCell ref="O142:Q142"/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A153:C153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W31:Z31"/>
    <mergeCell ref="AB31:AE31"/>
    <mergeCell ref="B34:AG34"/>
    <mergeCell ref="B35:AG35"/>
    <mergeCell ref="B36:AG36"/>
    <mergeCell ref="B40:M41"/>
    <mergeCell ref="O40:AG41"/>
    <mergeCell ref="C26:H26"/>
    <mergeCell ref="J26:O26"/>
    <mergeCell ref="C27:H27"/>
    <mergeCell ref="J27:O27"/>
    <mergeCell ref="O28:P28"/>
    <mergeCell ref="B31:I31"/>
    <mergeCell ref="K31:U31"/>
    <mergeCell ref="C23:H23"/>
    <mergeCell ref="J23:O23"/>
    <mergeCell ref="C24:H24"/>
    <mergeCell ref="J24:O24"/>
    <mergeCell ref="C25:H25"/>
    <mergeCell ref="J25:O25"/>
    <mergeCell ref="C20:H20"/>
    <mergeCell ref="J20:O20"/>
    <mergeCell ref="C21:H21"/>
    <mergeCell ref="J21:O21"/>
    <mergeCell ref="C22:H22"/>
    <mergeCell ref="J22:O22"/>
    <mergeCell ref="AF16:AG16"/>
    <mergeCell ref="AB18:AG18"/>
    <mergeCell ref="C19:H19"/>
    <mergeCell ref="J19:O19"/>
    <mergeCell ref="C16:L16"/>
    <mergeCell ref="O16:AE16"/>
    <mergeCell ref="AF14:AG14"/>
    <mergeCell ref="AF15:AG15"/>
    <mergeCell ref="C14:L14"/>
    <mergeCell ref="C15:L15"/>
    <mergeCell ref="O14:AE14"/>
    <mergeCell ref="O15:AE15"/>
    <mergeCell ref="Y8:AB8"/>
    <mergeCell ref="B9:M9"/>
    <mergeCell ref="O9:AF9"/>
    <mergeCell ref="M11:M12"/>
    <mergeCell ref="AF11:AG12"/>
    <mergeCell ref="AF13:AG13"/>
    <mergeCell ref="C13:L13"/>
    <mergeCell ref="O13:AE13"/>
    <mergeCell ref="O4:P4"/>
    <mergeCell ref="R5:T5"/>
    <mergeCell ref="U5:V5"/>
    <mergeCell ref="R6:T6"/>
    <mergeCell ref="U6:V6"/>
    <mergeCell ref="F8:M8"/>
    <mergeCell ref="S8:T8"/>
    <mergeCell ref="V8:W8"/>
  </mergeCells>
  <conditionalFormatting sqref="A136:S144 A27:P27 S27 U27:AG27">
    <cfRule type="expression" priority="95" dxfId="1" stopIfTrue="1">
      <formula>$G$4&lt;&gt;"x"</formula>
    </cfRule>
  </conditionalFormatting>
  <conditionalFormatting sqref="A16:AG16 A83:A91 C83:S91 B83:B90 B81 A123:A131 C123:S131 B123:B130 A121 A22:P22 A26:P26 U26:AG26 S26 S22 U22:AG22">
    <cfRule type="expression" priority="92" dxfId="1" stopIfTrue="1">
      <formula>$M$6="x"</formula>
    </cfRule>
  </conditionalFormatting>
  <conditionalFormatting sqref="R27 T27">
    <cfRule type="expression" priority="26" dxfId="0" stopIfTrue="1">
      <formula>SUM($V$27:$Z$27,$AB$27:$AF$27)=0</formula>
    </cfRule>
  </conditionalFormatting>
  <conditionalFormatting sqref="R19 T19">
    <cfRule type="expression" priority="25" dxfId="0" stopIfTrue="1">
      <formula>SUM($V$19:$Z$19,$AB$19:$AF$19)=0</formula>
    </cfRule>
  </conditionalFormatting>
  <conditionalFormatting sqref="R20 T20">
    <cfRule type="expression" priority="24" dxfId="0" stopIfTrue="1">
      <formula>SUM($V$20:$Z$20,$AB$20:$AF$20)=0</formula>
    </cfRule>
  </conditionalFormatting>
  <conditionalFormatting sqref="R21 T21">
    <cfRule type="expression" priority="23" dxfId="0" stopIfTrue="1">
      <formula>SUM($V$21:$Z$21,$AB$21:$AF$21)=0</formula>
    </cfRule>
  </conditionalFormatting>
  <conditionalFormatting sqref="R22 T22">
    <cfRule type="expression" priority="22" dxfId="0" stopIfTrue="1">
      <formula>SUM($V$22:$Z$22,$AB$22:$AF$22)=0</formula>
    </cfRule>
  </conditionalFormatting>
  <conditionalFormatting sqref="R23 T23">
    <cfRule type="expression" priority="21" dxfId="0" stopIfTrue="1">
      <formula>SUM($V$23:$Z$23,$AB$23:$AF$23)=0</formula>
    </cfRule>
  </conditionalFormatting>
  <conditionalFormatting sqref="R24 T24">
    <cfRule type="expression" priority="20" dxfId="0" stopIfTrue="1">
      <formula>SUM($V$24:$Z$24,$AB$24:$AF$24)=0</formula>
    </cfRule>
  </conditionalFormatting>
  <conditionalFormatting sqref="R25 T25">
    <cfRule type="expression" priority="19" dxfId="0" stopIfTrue="1">
      <formula>SUM($V$25:$Z$25,$AB$25:$AF$25)=0</formula>
    </cfRule>
  </conditionalFormatting>
  <conditionalFormatting sqref="R26 T26">
    <cfRule type="expression" priority="18" dxfId="0" stopIfTrue="1">
      <formula>SUM($V$26:$Z$26,$AB$26:$AF$26)=0</formula>
    </cfRule>
  </conditionalFormatting>
  <conditionalFormatting sqref="R28 T28 W31:Z31 AB31:AE31">
    <cfRule type="expression" priority="17" dxfId="0" stopIfTrue="1">
      <formula>SUM($R$19:$R$26,$T$19:$T$26)=0</formula>
    </cfRule>
  </conditionalFormatting>
  <conditionalFormatting sqref="M101">
    <cfRule type="expression" priority="3" dxfId="1" stopIfTrue="1">
      <formula>$M$6="x"</formula>
    </cfRule>
  </conditionalFormatting>
  <conditionalFormatting sqref="M101">
    <cfRule type="expression" priority="2" dxfId="1" stopIfTrue="1">
      <formula>$M$6="x"</formula>
    </cfRule>
  </conditionalFormatting>
  <conditionalFormatting sqref="M101">
    <cfRule type="expression" priority="1" dxfId="1" stopIfTrue="1">
      <formula>$M$6="x"</formula>
    </cfRule>
  </conditionalFormatting>
  <dataValidations count="10"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6">
      <formula1>$AR$10:$AR$17</formula1>
    </dataValidation>
    <dataValidation type="list" allowBlank="1" showInputMessage="1" showErrorMessage="1" sqref="O13:AE16">
      <formula1>$AO$10:$AO$17</formula1>
    </dataValidation>
    <dataValidation allowBlank="1" showInputMessage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2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5" zoomScaleNormal="85" zoomScalePageLayoutView="55" workbookViewId="0" topLeftCell="A1">
      <selection activeCell="O130" sqref="O130:Q130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4.00390625" style="86" customWidth="1"/>
    <col min="35" max="35" width="4.42187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59"/>
      <c r="I4" s="6"/>
      <c r="J4" s="60"/>
      <c r="K4" s="60"/>
      <c r="L4" s="60"/>
      <c r="M4" s="60"/>
      <c r="N4" s="67"/>
      <c r="O4" s="440"/>
      <c r="P4" s="441"/>
      <c r="Q4" s="166"/>
      <c r="R4" s="65"/>
      <c r="S4" s="65"/>
      <c r="T4" s="65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20</v>
      </c>
      <c r="M5" s="171" t="str">
        <f>IF(tilasto!E5=0,"",tilasto!E5)</f>
        <v>x</v>
      </c>
      <c r="N5" s="237">
        <f>IF(M5="x",COUNTA(C13:L16,O13:AE16),"-")</f>
        <v>8</v>
      </c>
      <c r="O5" s="70"/>
      <c r="P5" s="167"/>
      <c r="Q5" s="167"/>
      <c r="R5" s="442" t="s">
        <v>23</v>
      </c>
      <c r="S5" s="443"/>
      <c r="T5" s="444"/>
      <c r="U5" s="400">
        <f>IF(tilasto!$H$5=0,"",tilasto!$H$5)</f>
        <v>5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21</v>
      </c>
      <c r="M6" s="171">
        <f>IF(tilasto!E6=0,"",tilasto!E6)</f>
      </c>
      <c r="N6" s="237" t="str">
        <f>IF(M6="x",COUNTA(C13:L15,O13:AE15),"-")</f>
        <v>-</v>
      </c>
      <c r="O6" s="70"/>
      <c r="P6" s="167"/>
      <c r="Q6" s="167"/>
      <c r="R6" s="442" t="s">
        <v>6</v>
      </c>
      <c r="S6" s="443"/>
      <c r="T6" s="444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5"/>
      <c r="O7" s="65"/>
      <c r="P7" s="65"/>
      <c r="Q7" s="65"/>
      <c r="R7" s="65"/>
      <c r="S7" s="65"/>
      <c r="T7" s="65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Grönan, Hanko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9">
        <f>IF(tilasto!$G$8=0,"",tilasto!$G$8)</f>
        <v>11</v>
      </c>
      <c r="T8" s="399"/>
      <c r="U8" s="80" t="s">
        <v>19</v>
      </c>
      <c r="V8" s="399">
        <f>IF(tilasto!$I$8=0,"",tilasto!$I$8)</f>
        <v>1</v>
      </c>
      <c r="W8" s="399"/>
      <c r="X8" s="80" t="s">
        <v>19</v>
      </c>
      <c r="Y8" s="399">
        <f>IF(tilasto!$K$8=0,"",tilasto!$K$8)</f>
        <v>2020</v>
      </c>
      <c r="Z8" s="407"/>
      <c r="AA8" s="407"/>
      <c r="AB8" s="407"/>
      <c r="AC8" s="34"/>
      <c r="AD8" s="34"/>
      <c r="AE8" s="34"/>
      <c r="AF8" s="34"/>
      <c r="AG8" s="7"/>
      <c r="AH8" s="86"/>
      <c r="AI8" s="86"/>
      <c r="AJ8" s="86"/>
      <c r="AK8" s="86"/>
      <c r="AO8" s="322"/>
      <c r="AP8" s="322"/>
      <c r="AQ8" s="322"/>
      <c r="AR8" s="322"/>
      <c r="AS8" s="322"/>
    </row>
    <row r="9" spans="1:45" s="5" customFormat="1" ht="42" customHeight="1">
      <c r="A9" s="79"/>
      <c r="B9" s="351" t="str">
        <f>IF(tilasto!A35=0,"",tilasto!A35)</f>
        <v>Satatikka 2</v>
      </c>
      <c r="C9" s="352"/>
      <c r="D9" s="352"/>
      <c r="E9" s="352"/>
      <c r="F9" s="352"/>
      <c r="G9" s="352"/>
      <c r="H9" s="352"/>
      <c r="I9" s="352"/>
      <c r="J9" s="352"/>
      <c r="K9" s="353"/>
      <c r="L9" s="353"/>
      <c r="M9" s="353"/>
      <c r="N9" s="79"/>
      <c r="O9" s="351" t="str">
        <f>IF('Ottelu 1'!B9=0,"",'Ottelu 1'!B9)</f>
        <v>Grönan DC 2</v>
      </c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203"/>
      <c r="AH9" s="87"/>
      <c r="AI9" s="87"/>
      <c r="AJ9" s="87"/>
      <c r="AK9" s="87"/>
      <c r="AM9" s="329"/>
      <c r="AN9" s="329"/>
      <c r="AO9" s="320" t="s">
        <v>80</v>
      </c>
      <c r="AP9" s="312"/>
      <c r="AQ9" s="312"/>
      <c r="AR9" s="320" t="s">
        <v>79</v>
      </c>
      <c r="AS9" s="312"/>
    </row>
    <row r="10" spans="1:45" s="5" customFormat="1" ht="15" customHeight="1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71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M10" s="329"/>
      <c r="AN10" s="329"/>
      <c r="AO10" s="320" t="str">
        <f>IF(tilasto!A38=0,"",tilasto!A38)</f>
        <v>Rami Mondolin</v>
      </c>
      <c r="AP10" s="312"/>
      <c r="AQ10" s="312"/>
      <c r="AR10" s="320" t="str">
        <f>IF(tilasto!A12=0,"",tilasto!A12)</f>
        <v>Sakari Kinnunen</v>
      </c>
      <c r="AS10" s="312"/>
    </row>
    <row r="11" spans="1:45" ht="15.7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408" t="s">
        <v>25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08" t="s">
        <v>25</v>
      </c>
      <c r="AG11" s="415"/>
      <c r="AH11" s="88"/>
      <c r="AI11" s="88"/>
      <c r="AJ11" s="88"/>
      <c r="AK11" s="88"/>
      <c r="AM11" s="331"/>
      <c r="AN11" s="331"/>
      <c r="AO11" s="320" t="str">
        <f>IF(tilasto!A39=0,"",tilasto!A39)</f>
        <v>Jouni I. Kataja</v>
      </c>
      <c r="AP11" s="58"/>
      <c r="AQ11" s="58"/>
      <c r="AR11" s="320" t="str">
        <f>IF(tilasto!A13=0,"",tilasto!A13)</f>
        <v>Tobias Lindholm</v>
      </c>
      <c r="AS11" s="58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409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09" t="s">
        <v>25</v>
      </c>
      <c r="AG12" s="416"/>
      <c r="AM12" s="331"/>
      <c r="AN12" s="331"/>
      <c r="AO12" s="320" t="str">
        <f>IF(tilasto!A40=0,"",tilasto!A40)</f>
        <v>Tomi Aaltonen</v>
      </c>
      <c r="AP12" s="58"/>
      <c r="AQ12" s="58"/>
      <c r="AR12" s="320" t="str">
        <f>IF(tilasto!A14=0,"",tilasto!A14)</f>
        <v>Tony Nyholm</v>
      </c>
      <c r="AS12" s="58"/>
    </row>
    <row r="13" spans="2:45" ht="30" customHeight="1">
      <c r="B13" s="8">
        <v>1</v>
      </c>
      <c r="C13" s="417" t="s">
        <v>111</v>
      </c>
      <c r="D13" s="418"/>
      <c r="E13" s="418"/>
      <c r="F13" s="418"/>
      <c r="G13" s="418"/>
      <c r="H13" s="418"/>
      <c r="I13" s="418"/>
      <c r="J13" s="418"/>
      <c r="K13" s="418"/>
      <c r="L13" s="419"/>
      <c r="M13" s="32" t="s">
        <v>10</v>
      </c>
      <c r="N13" s="7">
        <v>1</v>
      </c>
      <c r="O13" s="424" t="s">
        <v>103</v>
      </c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6"/>
      <c r="AF13" s="430"/>
      <c r="AG13" s="422"/>
      <c r="AM13" s="331"/>
      <c r="AN13" s="331"/>
      <c r="AO13" s="320" t="str">
        <f>IF(tilasto!A41=0,"",tilasto!A41)</f>
        <v>Seppo Makkonen</v>
      </c>
      <c r="AP13" s="58"/>
      <c r="AQ13" s="58"/>
      <c r="AR13" s="320" t="str">
        <f>IF(tilasto!A15=0,"",tilasto!A15)</f>
        <v>Mikael Nyholm</v>
      </c>
      <c r="AS13" s="58"/>
    </row>
    <row r="14" spans="2:45" ht="30" customHeight="1">
      <c r="B14" s="9">
        <v>2</v>
      </c>
      <c r="C14" s="420" t="s">
        <v>114</v>
      </c>
      <c r="D14" s="421"/>
      <c r="E14" s="421"/>
      <c r="F14" s="421"/>
      <c r="G14" s="421"/>
      <c r="H14" s="421"/>
      <c r="I14" s="421"/>
      <c r="J14" s="421"/>
      <c r="K14" s="421"/>
      <c r="L14" s="422"/>
      <c r="M14" s="32"/>
      <c r="N14" s="7">
        <v>2</v>
      </c>
      <c r="O14" s="427" t="s">
        <v>106</v>
      </c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9"/>
      <c r="AF14" s="430" t="s">
        <v>10</v>
      </c>
      <c r="AG14" s="422"/>
      <c r="AM14" s="331"/>
      <c r="AN14" s="331"/>
      <c r="AO14" s="320">
        <f>IF(tilasto!A42=0,"",tilasto!A42)</f>
      </c>
      <c r="AP14" s="58"/>
      <c r="AQ14" s="58"/>
      <c r="AR14" s="320" t="str">
        <f>IF(tilasto!A16=0,"",tilasto!A16)</f>
        <v>Björn Huldin</v>
      </c>
      <c r="AS14" s="58"/>
    </row>
    <row r="15" spans="2:45" ht="30" customHeight="1">
      <c r="B15" s="9">
        <v>3</v>
      </c>
      <c r="C15" s="420" t="s">
        <v>112</v>
      </c>
      <c r="D15" s="421"/>
      <c r="E15" s="421"/>
      <c r="F15" s="421"/>
      <c r="G15" s="421"/>
      <c r="H15" s="421"/>
      <c r="I15" s="421"/>
      <c r="J15" s="421"/>
      <c r="K15" s="421"/>
      <c r="L15" s="422"/>
      <c r="M15" s="32"/>
      <c r="N15" s="7">
        <v>3</v>
      </c>
      <c r="O15" s="427" t="s">
        <v>102</v>
      </c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9"/>
      <c r="AF15" s="430"/>
      <c r="AG15" s="422"/>
      <c r="AM15" s="331"/>
      <c r="AN15" s="331"/>
      <c r="AO15" s="320">
        <f>IF(tilasto!A43=0,"",tilasto!A43)</f>
      </c>
      <c r="AP15" s="58"/>
      <c r="AQ15" s="58"/>
      <c r="AR15" s="320">
        <f>IF(tilasto!A17=0,"",tilasto!A17)</f>
      </c>
      <c r="AS15" s="58"/>
    </row>
    <row r="16" spans="2:45" ht="30" customHeight="1">
      <c r="B16" s="9">
        <v>4</v>
      </c>
      <c r="C16" s="420" t="s">
        <v>113</v>
      </c>
      <c r="D16" s="421"/>
      <c r="E16" s="421"/>
      <c r="F16" s="421"/>
      <c r="G16" s="421"/>
      <c r="H16" s="421"/>
      <c r="I16" s="421"/>
      <c r="J16" s="421"/>
      <c r="K16" s="421"/>
      <c r="L16" s="422"/>
      <c r="M16" s="32"/>
      <c r="N16" s="7">
        <v>4</v>
      </c>
      <c r="O16" s="427" t="s">
        <v>105</v>
      </c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9"/>
      <c r="AF16" s="430"/>
      <c r="AG16" s="422"/>
      <c r="AM16" s="331"/>
      <c r="AN16" s="331"/>
      <c r="AO16" s="320">
        <f>IF(tilasto!A44=0,"",tilasto!A44)</f>
      </c>
      <c r="AP16" s="58"/>
      <c r="AQ16" s="58"/>
      <c r="AR16" s="320">
        <f>IF(tilasto!A18=0,"",tilasto!A18)</f>
      </c>
      <c r="AS16" s="58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331"/>
      <c r="AN17" s="331"/>
      <c r="AO17" s="320">
        <f>IF(tilasto!A45=0,"",tilasto!A45)</f>
      </c>
      <c r="AP17" s="58"/>
      <c r="AQ17" s="58"/>
      <c r="AR17" s="320">
        <f>IF(tilasto!A19=0,"",tilasto!A19)</f>
      </c>
      <c r="AS17" s="58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369"/>
      <c r="AC18" s="369"/>
      <c r="AD18" s="369"/>
      <c r="AE18" s="370"/>
      <c r="AF18" s="370"/>
      <c r="AG18" s="370"/>
      <c r="AM18" s="331"/>
      <c r="AN18" s="331"/>
      <c r="AO18" s="58"/>
      <c r="AP18" s="58"/>
      <c r="AQ18" s="58"/>
      <c r="AR18" s="58"/>
      <c r="AS18" s="58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59" t="str">
        <f>IF(C13=0,"",C13)</f>
        <v>Rami Mondolin</v>
      </c>
      <c r="D19" s="359"/>
      <c r="E19" s="359"/>
      <c r="F19" s="359"/>
      <c r="G19" s="359"/>
      <c r="H19" s="359"/>
      <c r="I19" s="43" t="s">
        <v>11</v>
      </c>
      <c r="J19" s="375" t="str">
        <f>IF($M$6="x",IF(O13=0,"",O13),IF(O14=0,"",O14))</f>
        <v>Björn Huldin</v>
      </c>
      <c r="K19" s="375"/>
      <c r="L19" s="375"/>
      <c r="M19" s="375"/>
      <c r="N19" s="375"/>
      <c r="O19" s="376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0</v>
      </c>
      <c r="U19" s="30" t="s">
        <v>16</v>
      </c>
      <c r="V19" s="276">
        <f>IF(E56=501,C56,IF(AI19="l",1,""))</f>
        <v>25</v>
      </c>
      <c r="W19" s="276">
        <f>IF(E57=501,C57,IF(AI19="l",1,""))</f>
        <v>38</v>
      </c>
      <c r="X19" s="276">
        <f>IF(E58=501,C58,IF(AI19="l",1,""))</f>
        <v>40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</c>
      <c r="AE19" s="276">
        <f>IF(N59=501,L59,"")</f>
      </c>
      <c r="AF19" s="276">
        <f>IF(N60=501,L60,"")</f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M19" s="331"/>
      <c r="AN19" s="331"/>
      <c r="AO19" s="58"/>
      <c r="AP19" s="58"/>
      <c r="AQ19" s="58"/>
      <c r="AR19" s="58"/>
      <c r="AS19" s="58"/>
    </row>
    <row r="20" spans="1:45" ht="30" customHeight="1">
      <c r="A20" s="26">
        <f>IF($M$6="x","","")</f>
      </c>
      <c r="B20" s="26" t="str">
        <f>IF($M$6="x","2 - 2","2 - 1")</f>
        <v>2 - 1</v>
      </c>
      <c r="C20" s="359" t="str">
        <f>IF(C14=0,"",C14)</f>
        <v>Jouni I. Kataja</v>
      </c>
      <c r="D20" s="359"/>
      <c r="E20" s="359"/>
      <c r="F20" s="359"/>
      <c r="G20" s="359"/>
      <c r="H20" s="359"/>
      <c r="I20" s="43" t="s">
        <v>11</v>
      </c>
      <c r="J20" s="375" t="str">
        <f>IF($M$6="x",IF(O14=0,"",O14),IF(O13=0,"",O13))</f>
        <v>Tobias Lindholm</v>
      </c>
      <c r="K20" s="375"/>
      <c r="L20" s="375"/>
      <c r="M20" s="375"/>
      <c r="N20" s="375"/>
      <c r="O20" s="376"/>
      <c r="P20" s="42">
        <v>2</v>
      </c>
      <c r="Q20" s="201"/>
      <c r="R20" s="118">
        <f aca="true" t="shared" si="0" ref="R20:R26">IF(C20="","",COUNT(V20:Z20))</f>
        <v>0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</c>
      <c r="W20" s="276">
        <f>IF(E67=501,C67,IF(AI20="l",1,""))</f>
      </c>
      <c r="X20" s="276">
        <f>IF(E68=501,C68,IF(AI20="l",1,""))</f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  <v>26</v>
      </c>
      <c r="AC20" s="276">
        <f>IF(N67=501,L67,IF(AH20="l",1,""))</f>
        <v>32</v>
      </c>
      <c r="AD20" s="276">
        <f>IF(N68=501,L68,IF(AH20="l",1,""))</f>
        <v>31</v>
      </c>
      <c r="AE20" s="276">
        <f>IF(N69=501,L69,"")</f>
      </c>
      <c r="AF20" s="276">
        <f>IF(N70=501,L70,"")</f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M20" s="331"/>
      <c r="AN20" s="331"/>
      <c r="AO20" s="331"/>
      <c r="AP20" s="331"/>
      <c r="AQ20" s="331"/>
      <c r="AR20" s="331"/>
      <c r="AS20" s="331"/>
    </row>
    <row r="21" spans="1:45" ht="30" customHeight="1">
      <c r="A21" s="26" t="str">
        <f>IF($M$6="x","x","x")</f>
        <v>x</v>
      </c>
      <c r="B21" s="26" t="str">
        <f>IF($M$6="x","3 - 3","3 - 4")</f>
        <v>3 - 4</v>
      </c>
      <c r="C21" s="359" t="str">
        <f>IF(C15=0,"",C15)</f>
        <v>Tomi Aaltonen</v>
      </c>
      <c r="D21" s="359"/>
      <c r="E21" s="359"/>
      <c r="F21" s="359"/>
      <c r="G21" s="359"/>
      <c r="H21" s="359"/>
      <c r="I21" s="43" t="s">
        <v>11</v>
      </c>
      <c r="J21" s="375" t="str">
        <f>IF($M$6="x",IF(O15=0,"",O15),IF(O16=0,"",O16))</f>
        <v>Mikael Nyholm</v>
      </c>
      <c r="K21" s="375"/>
      <c r="L21" s="375"/>
      <c r="M21" s="375"/>
      <c r="N21" s="375"/>
      <c r="O21" s="376"/>
      <c r="P21" s="42">
        <v>3</v>
      </c>
      <c r="Q21" s="201"/>
      <c r="R21" s="118">
        <f t="shared" si="0"/>
        <v>2</v>
      </c>
      <c r="S21" s="119" t="s">
        <v>11</v>
      </c>
      <c r="T21" s="118">
        <f>IF(J21&lt;&gt;"",COUNT(AB21:AF21),"")</f>
        <v>3</v>
      </c>
      <c r="U21" s="30" t="s">
        <v>16</v>
      </c>
      <c r="V21" s="276">
        <f>IF(E76=501,C76,IF(AI21="l",1,""))</f>
      </c>
      <c r="W21" s="276">
        <f>IF(E77=501,C77,IF(AI21="l",1,""))</f>
      </c>
      <c r="X21" s="276">
        <f>IF(E78=501,C78,IF(AI21="l",1,""))</f>
        <v>28</v>
      </c>
      <c r="Y21" s="276">
        <f>IF(E79=501,C79,"")</f>
        <v>26</v>
      </c>
      <c r="Z21" s="276">
        <f>IF(E80=501,C80,"")</f>
      </c>
      <c r="AA21" s="16" t="s">
        <v>11</v>
      </c>
      <c r="AB21" s="276">
        <f>IF(N76=501,L76,IF(AH21="l",1,""))</f>
        <v>41</v>
      </c>
      <c r="AC21" s="276">
        <f>IF(N77=501,L77,IF(AH21="l",1,""))</f>
        <v>28</v>
      </c>
      <c r="AD21" s="276">
        <f>IF(N78=501,L78,IF(AH21="l",1,""))</f>
      </c>
      <c r="AE21" s="276">
        <f>IF(N79=501,L79,"")</f>
      </c>
      <c r="AF21" s="276">
        <f>IF(N80=501,L80,"")</f>
        <v>22</v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M21" s="331"/>
      <c r="AN21" s="331"/>
      <c r="AO21" s="331"/>
      <c r="AP21" s="331"/>
      <c r="AQ21" s="331"/>
      <c r="AR21" s="331"/>
      <c r="AS21" s="331"/>
    </row>
    <row r="22" spans="1:37" ht="30" customHeight="1">
      <c r="A22" s="26">
        <f>IF($M$6="x","","")</f>
      </c>
      <c r="B22" s="26" t="str">
        <f>IF($M$6="x","","4 - 3")</f>
        <v>4 - 3</v>
      </c>
      <c r="C22" s="359" t="str">
        <f>IF(C16=0,"",C16)</f>
        <v>Seppo Makkonen</v>
      </c>
      <c r="D22" s="359"/>
      <c r="E22" s="359"/>
      <c r="F22" s="359"/>
      <c r="G22" s="359"/>
      <c r="H22" s="359"/>
      <c r="I22" s="43" t="s">
        <v>11</v>
      </c>
      <c r="J22" s="375" t="str">
        <f>IF($M$6="x",IF(O16=0,"",O16),IF(O15=0,"",O15))</f>
        <v>Sakari Kinnunen</v>
      </c>
      <c r="K22" s="375"/>
      <c r="L22" s="375"/>
      <c r="M22" s="375"/>
      <c r="N22" s="375"/>
      <c r="O22" s="376"/>
      <c r="P22" s="42">
        <v>4</v>
      </c>
      <c r="Q22" s="201"/>
      <c r="R22" s="118">
        <f t="shared" si="0"/>
        <v>2</v>
      </c>
      <c r="S22" s="119" t="s">
        <v>11</v>
      </c>
      <c r="T22" s="118">
        <f t="shared" si="1"/>
        <v>3</v>
      </c>
      <c r="U22" s="30" t="s">
        <v>16</v>
      </c>
      <c r="V22" s="276">
        <f>IF(E86=501,C86,IF(AI22="l",1,""))</f>
      </c>
      <c r="W22" s="276">
        <f>IF(E87=501,C87,IF(AI22="l",1,""))</f>
      </c>
      <c r="X22" s="276">
        <f>IF(E88=501,C88,IF(AI22="l",1,""))</f>
        <v>30</v>
      </c>
      <c r="Y22" s="276">
        <f>IF(E89=501,C89,"")</f>
        <v>29</v>
      </c>
      <c r="Z22" s="276">
        <f>IF(E90=501,C90,"")</f>
      </c>
      <c r="AA22" s="16" t="s">
        <v>11</v>
      </c>
      <c r="AB22" s="276">
        <f>IF(N86=501,L86,IF(AH22="l",1,""))</f>
        <v>28</v>
      </c>
      <c r="AC22" s="276">
        <f>IF(N87=501,L87,IF(AH22="l",1,""))</f>
        <v>23</v>
      </c>
      <c r="AD22" s="276">
        <f>IF(N88=501,L88,IF(AH22="l",1,""))</f>
      </c>
      <c r="AE22" s="276">
        <f>IF(N89=501,L89,"")</f>
      </c>
      <c r="AF22" s="276">
        <f>IF(N90=501,L90,"")</f>
        <v>21</v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59" t="str">
        <f>IF(C13=0,"",C13)</f>
        <v>Rami Mondolin</v>
      </c>
      <c r="D23" s="359"/>
      <c r="E23" s="359"/>
      <c r="F23" s="359"/>
      <c r="G23" s="359"/>
      <c r="H23" s="359"/>
      <c r="I23" s="43" t="s">
        <v>11</v>
      </c>
      <c r="J23" s="375" t="str">
        <f>IF($M$6="x",IF(O14=0,"",O14),IF(O13=0,"",O13))</f>
        <v>Tobias Lindholm</v>
      </c>
      <c r="K23" s="375"/>
      <c r="L23" s="375"/>
      <c r="M23" s="375"/>
      <c r="N23" s="375"/>
      <c r="O23" s="376"/>
      <c r="P23" s="42">
        <v>5</v>
      </c>
      <c r="Q23" s="201"/>
      <c r="R23" s="118">
        <f t="shared" si="0"/>
        <v>1</v>
      </c>
      <c r="S23" s="119" t="s">
        <v>11</v>
      </c>
      <c r="T23" s="118">
        <f t="shared" si="1"/>
        <v>3</v>
      </c>
      <c r="U23" s="30" t="s">
        <v>16</v>
      </c>
      <c r="V23" s="276">
        <f>IF(E96=501,C96,IF(AI23="l",1,""))</f>
        <v>25</v>
      </c>
      <c r="W23" s="276">
        <f>IF(E97=501,C97,IF(AI23="l",1,""))</f>
      </c>
      <c r="X23" s="276">
        <f>IF(E98=501,C98,IF(AI23="l",1,""))</f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</c>
      <c r="AC23" s="276">
        <f>IF(N97=501,L97,IF(AH23="l",1,""))</f>
        <v>25</v>
      </c>
      <c r="AD23" s="276">
        <f>IF(N98=501,L98,IF(AH23="l",1,""))</f>
        <v>24</v>
      </c>
      <c r="AE23" s="276">
        <f>IF(N99=501,L99,"")</f>
        <v>24</v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59" t="str">
        <f>IF(C14=0,"",C14)</f>
        <v>Jouni I. Kataja</v>
      </c>
      <c r="D24" s="359"/>
      <c r="E24" s="359"/>
      <c r="F24" s="359"/>
      <c r="G24" s="359"/>
      <c r="H24" s="359"/>
      <c r="I24" s="43" t="s">
        <v>11</v>
      </c>
      <c r="J24" s="375" t="str">
        <f>IF($M$6="x",IF(O15=0,"",O15),IF(O14=0,"",O14))</f>
        <v>Björn Huldin</v>
      </c>
      <c r="K24" s="375"/>
      <c r="L24" s="375"/>
      <c r="M24" s="375"/>
      <c r="N24" s="375"/>
      <c r="O24" s="376"/>
      <c r="P24" s="42">
        <v>6</v>
      </c>
      <c r="Q24" s="201"/>
      <c r="R24" s="118">
        <f t="shared" si="0"/>
        <v>2</v>
      </c>
      <c r="S24" s="119" t="s">
        <v>11</v>
      </c>
      <c r="T24" s="118">
        <f t="shared" si="1"/>
        <v>3</v>
      </c>
      <c r="U24" s="30" t="s">
        <v>16</v>
      </c>
      <c r="V24" s="276">
        <f>IF(E106=501,C106,IF(AI24="l",1,""))</f>
      </c>
      <c r="W24" s="276">
        <f>IF(E107=501,C107,IF(AI24="l",1,""))</f>
      </c>
      <c r="X24" s="276">
        <f>IF(E108=501,C108,IF(AI24="l",1,""))</f>
        <v>34</v>
      </c>
      <c r="Y24" s="276">
        <f>IF(E109=501,C109,"")</f>
        <v>33</v>
      </c>
      <c r="Z24" s="276">
        <f>IF(E110=501,C110,"")</f>
      </c>
      <c r="AA24" s="16" t="s">
        <v>11</v>
      </c>
      <c r="AB24" s="276">
        <f>IF(N106=501,L106,IF(AH24="l",1,""))</f>
        <v>45</v>
      </c>
      <c r="AC24" s="276">
        <f>IF(N107=501,L107,IF(AH24="l",1,""))</f>
        <v>20</v>
      </c>
      <c r="AD24" s="276">
        <f>IF(N108=501,L108,IF(AH24="l",1,""))</f>
      </c>
      <c r="AE24" s="276">
        <f>IF(N109=501,L109,"")</f>
      </c>
      <c r="AF24" s="276">
        <f>IF(N110=501,L110,"")</f>
        <v>25</v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59" t="str">
        <f>IF(C15=0,"",C15)</f>
        <v>Tomi Aaltonen</v>
      </c>
      <c r="D25" s="359"/>
      <c r="E25" s="359"/>
      <c r="F25" s="359"/>
      <c r="G25" s="359"/>
      <c r="H25" s="359"/>
      <c r="I25" s="43" t="s">
        <v>11</v>
      </c>
      <c r="J25" s="375" t="str">
        <f>IF($M$6="x",IF(O13=0,"",O13),IF(O15=0,"",O15))</f>
        <v>Sakari Kinnunen</v>
      </c>
      <c r="K25" s="375"/>
      <c r="L25" s="375"/>
      <c r="M25" s="375"/>
      <c r="N25" s="375"/>
      <c r="O25" s="376"/>
      <c r="P25" s="42">
        <v>7</v>
      </c>
      <c r="Q25" s="201"/>
      <c r="R25" s="118">
        <f t="shared" si="0"/>
        <v>0</v>
      </c>
      <c r="S25" s="119" t="s">
        <v>11</v>
      </c>
      <c r="T25" s="118">
        <f t="shared" si="1"/>
        <v>3</v>
      </c>
      <c r="U25" s="30" t="s">
        <v>16</v>
      </c>
      <c r="V25" s="276">
        <f>IF(E116=501,C116,IF(AI25="l",1,""))</f>
      </c>
      <c r="W25" s="276">
        <f>IF(E117=501,C117,IF(AI25="l",1,""))</f>
      </c>
      <c r="X25" s="276">
        <f>IF(E118=501,C118,IF(AI25="l",1,""))</f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  <v>22</v>
      </c>
      <c r="AC25" s="276">
        <f>IF(N117=501,L117,IF(AH25="l",1,""))</f>
        <v>17</v>
      </c>
      <c r="AD25" s="276">
        <f>IF(N118=501,L118,IF(AH25="l",1,""))</f>
        <v>26</v>
      </c>
      <c r="AE25" s="276">
        <f>IF(N119=501,L119,"")</f>
      </c>
      <c r="AF25" s="276">
        <f>IF(N120=501,L120,"")</f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59" t="str">
        <f>IF(C16=0,"",C16)</f>
        <v>Seppo Makkonen</v>
      </c>
      <c r="D26" s="359"/>
      <c r="E26" s="359"/>
      <c r="F26" s="359"/>
      <c r="G26" s="359"/>
      <c r="H26" s="359"/>
      <c r="I26" s="43" t="s">
        <v>11</v>
      </c>
      <c r="J26" s="375" t="str">
        <f>IF(O16=0,"",O16)</f>
        <v>Mikael Nyholm</v>
      </c>
      <c r="K26" s="375"/>
      <c r="L26" s="375"/>
      <c r="M26" s="375"/>
      <c r="N26" s="375"/>
      <c r="O26" s="376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2</v>
      </c>
      <c r="U26" s="30" t="s">
        <v>16</v>
      </c>
      <c r="V26" s="276">
        <f>IF(E126=501,C126,IF(AI26="l",1,""))</f>
      </c>
      <c r="W26" s="276">
        <f>IF(E127=501,C127,IF(AI26="l",1,""))</f>
        <v>44</v>
      </c>
      <c r="X26" s="276">
        <f>IF(E128=501,C128,IF(AI26="l",1,""))</f>
        <v>31</v>
      </c>
      <c r="Y26" s="276">
        <f>IF(E129=501,C129,"")</f>
      </c>
      <c r="Z26" s="276">
        <f>IF(E130=501,C130,"")</f>
        <v>25</v>
      </c>
      <c r="AA26" s="16" t="s">
        <v>11</v>
      </c>
      <c r="AB26" s="276">
        <f>IF(N126=501,L126,IF(AH26="l",1,""))</f>
        <v>31</v>
      </c>
      <c r="AC26" s="276">
        <f>IF(N127=501,L127,IF(AH26="l",1,""))</f>
      </c>
      <c r="AD26" s="276">
        <f>IF(N128=501,L128,IF(AH26="l",1,""))</f>
      </c>
      <c r="AE26" s="276">
        <f>IF(N129=501,L129,"")</f>
        <v>26</v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81" t="str">
        <f>B9</f>
        <v>Satatikka 2</v>
      </c>
      <c r="D27" s="423"/>
      <c r="E27" s="423"/>
      <c r="F27" s="423"/>
      <c r="G27" s="423"/>
      <c r="H27" s="423"/>
      <c r="I27" s="258" t="s">
        <v>11</v>
      </c>
      <c r="J27" s="381" t="str">
        <f>O9</f>
        <v>Grönan DC 2</v>
      </c>
      <c r="K27" s="381"/>
      <c r="L27" s="381"/>
      <c r="M27" s="381"/>
      <c r="N27" s="381"/>
      <c r="O27" s="382"/>
      <c r="P27" s="42" t="s">
        <v>69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86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377" t="s">
        <v>9</v>
      </c>
      <c r="P28" s="378"/>
      <c r="Q28" s="204"/>
      <c r="R28" s="273">
        <f>SUMIF(R19:R27,"&gt;0",R19:R27)</f>
        <v>13</v>
      </c>
      <c r="S28" s="20" t="s">
        <v>11</v>
      </c>
      <c r="T28" s="273">
        <f>SUMIF(T19:T27,"&gt;0",T19:T27)</f>
        <v>20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71" t="str">
        <f>IF(B9&gt;="0",B9,"")</f>
        <v>Satatikka 2</v>
      </c>
      <c r="C31" s="372"/>
      <c r="D31" s="372"/>
      <c r="E31" s="372"/>
      <c r="F31" s="372"/>
      <c r="G31" s="372"/>
      <c r="H31" s="372"/>
      <c r="I31" s="373"/>
      <c r="J31" s="29" t="s">
        <v>11</v>
      </c>
      <c r="K31" s="371" t="str">
        <f>IF(O9&gt;="0",O9,"")</f>
        <v>Grönan DC 2</v>
      </c>
      <c r="L31" s="372"/>
      <c r="M31" s="372"/>
      <c r="N31" s="372"/>
      <c r="O31" s="372"/>
      <c r="P31" s="372"/>
      <c r="Q31" s="372"/>
      <c r="R31" s="373"/>
      <c r="S31" s="374"/>
      <c r="T31" s="374"/>
      <c r="U31" s="374"/>
      <c r="V31" s="15"/>
      <c r="W31" s="396">
        <f>IF(R28=0,0,COUNTIF(R17:R27,"3"))</f>
        <v>2</v>
      </c>
      <c r="X31" s="396"/>
      <c r="Y31" s="396"/>
      <c r="Z31" s="396"/>
      <c r="AA31" s="82" t="s">
        <v>11</v>
      </c>
      <c r="AB31" s="396">
        <f>IF(T28=0,0,COUNTIF(T17:T27,"3"))</f>
        <v>6</v>
      </c>
      <c r="AC31" s="396"/>
      <c r="AD31" s="396"/>
      <c r="AE31" s="396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61" t="s">
        <v>116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</row>
    <row r="35" spans="1:37" s="6" customFormat="1" ht="31.5" customHeight="1">
      <c r="A35" s="7"/>
      <c r="B35" s="361" t="s">
        <v>117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85"/>
      <c r="AI35" s="85"/>
      <c r="AJ35" s="85"/>
      <c r="AK35" s="85"/>
    </row>
    <row r="36" spans="2:37" s="6" customFormat="1" ht="31.5" customHeight="1">
      <c r="B36" s="379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44"/>
      <c r="P38" s="240">
        <f>IF(N5="-","",SUM(W31:AE31))</f>
        <v>8</v>
      </c>
      <c r="Q38" s="282"/>
      <c r="R38" s="44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.7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44"/>
      <c r="P39" s="240"/>
      <c r="Q39" s="282">
        <f>IF(V51+AB51+AK28&lt;&gt;0,"Ottelupöytäkirja on keskeneräinen !!!","")</f>
      </c>
      <c r="R39" s="44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386" t="str">
        <f>IF(M13="x",C13,"")&amp;IF(M14="x",C14,"")&amp;IF(M15="x",C15,"")&amp;IF(M16="x",C16,"")</f>
        <v>Rami Mondolin</v>
      </c>
      <c r="C40" s="386"/>
      <c r="D40" s="386"/>
      <c r="E40" s="386"/>
      <c r="F40" s="386"/>
      <c r="G40" s="386"/>
      <c r="H40" s="386"/>
      <c r="I40" s="386"/>
      <c r="J40" s="386"/>
      <c r="K40" s="387"/>
      <c r="L40" s="387"/>
      <c r="M40" s="387"/>
      <c r="N40" s="7"/>
      <c r="O40" s="386" t="str">
        <f>IF(AF13="x",O13,"")&amp;IF(AF14="x",O14,"")&amp;IF(AF15="x",O15,"")&amp;IF(AF16="x",O16,"")</f>
        <v>Björn Huldin</v>
      </c>
      <c r="P40" s="386"/>
      <c r="Q40" s="386"/>
      <c r="R40" s="386"/>
      <c r="S40" s="386"/>
      <c r="T40" s="386"/>
      <c r="U40" s="386"/>
      <c r="V40" s="386"/>
      <c r="W40" s="386"/>
      <c r="X40" s="387"/>
      <c r="Y40" s="387"/>
      <c r="Z40" s="387"/>
      <c r="AA40" s="415"/>
      <c r="AB40" s="415"/>
      <c r="AC40" s="415"/>
      <c r="AD40" s="415"/>
      <c r="AE40" s="415"/>
      <c r="AF40" s="415"/>
      <c r="AG40" s="415"/>
    </row>
    <row r="41" spans="2:33" ht="42" customHeight="1">
      <c r="B41" s="388"/>
      <c r="C41" s="388"/>
      <c r="D41" s="388"/>
      <c r="E41" s="388"/>
      <c r="F41" s="388"/>
      <c r="G41" s="388"/>
      <c r="H41" s="388"/>
      <c r="I41" s="388"/>
      <c r="J41" s="388"/>
      <c r="K41" s="389"/>
      <c r="L41" s="389"/>
      <c r="M41" s="389"/>
      <c r="N41" s="7"/>
      <c r="O41" s="388"/>
      <c r="P41" s="388"/>
      <c r="Q41" s="388"/>
      <c r="R41" s="388"/>
      <c r="S41" s="388"/>
      <c r="T41" s="388"/>
      <c r="U41" s="388"/>
      <c r="V41" s="388"/>
      <c r="W41" s="388"/>
      <c r="X41" s="389"/>
      <c r="Y41" s="389"/>
      <c r="Z41" s="389"/>
      <c r="AA41" s="416"/>
      <c r="AB41" s="416"/>
      <c r="AC41" s="416"/>
      <c r="AD41" s="416"/>
      <c r="AE41" s="416"/>
      <c r="AF41" s="416"/>
      <c r="AG41" s="416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4" ht="21.75" customHeight="1">
      <c r="B43" s="7" t="s">
        <v>93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3"/>
    </row>
    <row r="44" spans="2:34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3"/>
    </row>
    <row r="45" spans="2:34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3"/>
    </row>
    <row r="46" spans="3:34" ht="15"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3"/>
    </row>
    <row r="47" spans="9:34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  <c r="AC51" s="33"/>
      <c r="AD51" s="33"/>
      <c r="AE51" s="33"/>
      <c r="AF51" s="33"/>
      <c r="AG51" s="33"/>
      <c r="AH51" s="33"/>
    </row>
    <row r="52" spans="1:34" s="86" customFormat="1" ht="15.75" thickBot="1">
      <c r="A52" s="85"/>
      <c r="H52" s="85"/>
      <c r="I52" s="93"/>
      <c r="J52" s="93"/>
      <c r="K52" s="93"/>
      <c r="L52" s="93"/>
      <c r="M52" s="93"/>
      <c r="T52" s="33"/>
      <c r="AC52" s="33"/>
      <c r="AD52" s="33"/>
      <c r="AE52" s="33"/>
      <c r="AF52" s="33"/>
      <c r="AG52" s="33"/>
      <c r="AH52" s="33"/>
    </row>
    <row r="53" spans="1:37" s="33" customFormat="1" ht="27.75" customHeight="1">
      <c r="A53" s="206"/>
      <c r="B53" s="207" t="s">
        <v>0</v>
      </c>
      <c r="C53" s="360" t="str">
        <f>C19</f>
        <v>Rami Mondolin</v>
      </c>
      <c r="D53" s="360"/>
      <c r="E53" s="360"/>
      <c r="F53" s="360"/>
      <c r="G53" s="360"/>
      <c r="H53" s="236">
        <f>IF(OR(H54="L",C53=0),0,1)</f>
        <v>1</v>
      </c>
      <c r="I53" s="217"/>
      <c r="J53" s="208"/>
      <c r="K53" s="209" t="s">
        <v>0</v>
      </c>
      <c r="L53" s="360" t="str">
        <f>J19</f>
        <v>Björn Huldin</v>
      </c>
      <c r="M53" s="360"/>
      <c r="N53" s="360"/>
      <c r="O53" s="360"/>
      <c r="P53" s="360"/>
      <c r="Q53" s="360"/>
      <c r="R53" s="360"/>
      <c r="S53" s="232">
        <f>IF(OR(I54="L",L53=0),0,1)</f>
        <v>1</v>
      </c>
      <c r="U53" s="86"/>
      <c r="V53" s="86"/>
      <c r="W53" s="86"/>
      <c r="X53" s="86"/>
      <c r="Y53" s="86"/>
      <c r="Z53" s="86"/>
      <c r="AA53" s="86"/>
      <c r="AB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84"/>
      <c r="J54" s="385"/>
      <c r="K54" s="105"/>
      <c r="L54" s="105"/>
      <c r="M54" s="105"/>
      <c r="N54" s="44"/>
      <c r="O54" s="44"/>
      <c r="P54" s="44"/>
      <c r="Q54" s="44"/>
      <c r="R54" s="44"/>
      <c r="S54" s="211"/>
      <c r="U54" s="86"/>
      <c r="V54" s="86"/>
      <c r="W54" s="86"/>
      <c r="X54" s="86"/>
      <c r="Y54" s="86"/>
      <c r="Z54" s="86"/>
      <c r="AA54" s="86"/>
      <c r="AB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7" t="s">
        <v>29</v>
      </c>
      <c r="P55" s="358"/>
      <c r="Q55" s="102"/>
      <c r="R55" s="100" t="s">
        <v>30</v>
      </c>
      <c r="S55" s="211"/>
      <c r="U55" s="86"/>
      <c r="V55" s="86"/>
      <c r="W55" s="86"/>
      <c r="X55" s="86"/>
      <c r="Y55" s="86"/>
      <c r="Z55" s="86"/>
      <c r="AA55" s="86"/>
      <c r="AB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25</v>
      </c>
      <c r="D56" s="103"/>
      <c r="E56" s="108">
        <f>IF(C56=0," ",IF(C56=0,0,501-D56))</f>
        <v>501</v>
      </c>
      <c r="F56" s="103"/>
      <c r="G56" s="103"/>
      <c r="H56" s="106">
        <f>IF(AND(H53=1,S53=0),1,IF(COUNT(C56:C60)&gt;2,IF(COUNT(D56:D60)=3,0,1),0))</f>
        <v>1</v>
      </c>
      <c r="I56" s="218"/>
      <c r="J56" s="105"/>
      <c r="K56" s="221">
        <v>1</v>
      </c>
      <c r="L56" s="103">
        <v>24</v>
      </c>
      <c r="M56" s="109">
        <v>120</v>
      </c>
      <c r="N56" s="108">
        <f>IF(L56=0," ",IF(L56=0,0,501-M56))</f>
        <v>381</v>
      </c>
      <c r="O56" s="354"/>
      <c r="P56" s="355"/>
      <c r="Q56" s="356"/>
      <c r="R56" s="103"/>
      <c r="S56" s="211"/>
      <c r="U56" s="104">
        <f>IF(AND(S53=1,H53=0),1,IF(COUNT(L56:L60)&gt;2,IF(COUNT(M56:M60)=3,0,1),0))</f>
        <v>0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I56" s="86"/>
      <c r="AJ56" s="86"/>
      <c r="AK56" s="86"/>
    </row>
    <row r="57" spans="1:37" s="33" customFormat="1" ht="31.5" customHeight="1">
      <c r="A57" s="367" t="s">
        <v>31</v>
      </c>
      <c r="B57" s="221">
        <v>2</v>
      </c>
      <c r="C57" s="103">
        <v>38</v>
      </c>
      <c r="D57" s="103"/>
      <c r="E57" s="108">
        <f>IF(C57=0," ",IF(C57=0,0,501-D57))</f>
        <v>501</v>
      </c>
      <c r="F57" s="103"/>
      <c r="G57" s="103"/>
      <c r="H57" s="108"/>
      <c r="I57" s="218"/>
      <c r="J57" s="105"/>
      <c r="K57" s="221">
        <v>2</v>
      </c>
      <c r="L57" s="103">
        <v>36</v>
      </c>
      <c r="M57" s="109">
        <v>4</v>
      </c>
      <c r="N57" s="108">
        <f>IF(L57=0," ",IF(L57=0,0,501-M57))</f>
        <v>497</v>
      </c>
      <c r="O57" s="354">
        <v>1</v>
      </c>
      <c r="P57" s="355"/>
      <c r="Q57" s="356"/>
      <c r="R57" s="103"/>
      <c r="S57" s="211"/>
      <c r="U57" s="86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I57" s="86"/>
      <c r="AJ57" s="86"/>
      <c r="AK57" s="86"/>
    </row>
    <row r="58" spans="1:37" s="33" customFormat="1" ht="31.5" customHeight="1">
      <c r="A58" s="368"/>
      <c r="B58" s="221">
        <v>3</v>
      </c>
      <c r="C58" s="103">
        <v>40</v>
      </c>
      <c r="D58" s="103"/>
      <c r="E58" s="108">
        <f>IF(C58=0," ",IF(C58=0,0,501-D58))</f>
        <v>501</v>
      </c>
      <c r="F58" s="103"/>
      <c r="G58" s="103"/>
      <c r="H58" s="108"/>
      <c r="I58" s="218"/>
      <c r="J58" s="105"/>
      <c r="K58" s="221">
        <v>3</v>
      </c>
      <c r="L58" s="103">
        <v>39</v>
      </c>
      <c r="M58" s="109">
        <v>19</v>
      </c>
      <c r="N58" s="108">
        <f>IF(L58=0," ",IF(L58=0,0,501-M58))</f>
        <v>482</v>
      </c>
      <c r="O58" s="354">
        <v>1</v>
      </c>
      <c r="P58" s="355"/>
      <c r="Q58" s="356"/>
      <c r="R58" s="103"/>
      <c r="S58" s="211"/>
      <c r="U58" s="86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I58" s="86"/>
      <c r="AJ58" s="86"/>
      <c r="AK58" s="86"/>
    </row>
    <row r="59" spans="1:37" s="33" customFormat="1" ht="31.5" customHeight="1">
      <c r="A59" s="368"/>
      <c r="B59" s="221">
        <v>4</v>
      </c>
      <c r="C59" s="103"/>
      <c r="D59" s="103"/>
      <c r="E59" s="108" t="str">
        <f>IF(C59=0," ",IF(C59=0,0,501-D59))</f>
        <v> </v>
      </c>
      <c r="F59" s="103"/>
      <c r="G59" s="103"/>
      <c r="H59" s="108"/>
      <c r="I59" s="218"/>
      <c r="J59" s="105"/>
      <c r="K59" s="221">
        <v>4</v>
      </c>
      <c r="L59" s="103"/>
      <c r="M59" s="109"/>
      <c r="N59" s="108" t="str">
        <f>IF(L59=0," ",IF(L59=0,0,501-M59))</f>
        <v> </v>
      </c>
      <c r="O59" s="354"/>
      <c r="P59" s="355"/>
      <c r="Q59" s="356"/>
      <c r="R59" s="103"/>
      <c r="S59" s="211"/>
      <c r="U59" s="86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3"/>
      <c r="E60" s="108" t="str">
        <f>IF(C60=0," ",IF(C60=0,0,501-D60))</f>
        <v> </v>
      </c>
      <c r="F60" s="103"/>
      <c r="G60" s="103"/>
      <c r="H60" s="108"/>
      <c r="I60" s="218"/>
      <c r="J60" s="105"/>
      <c r="K60" s="221">
        <v>5</v>
      </c>
      <c r="L60" s="103"/>
      <c r="M60" s="109"/>
      <c r="N60" s="108" t="str">
        <f>IF(L60=0," ",IF(L60=0,0,501-M60))</f>
        <v> </v>
      </c>
      <c r="O60" s="354"/>
      <c r="P60" s="355"/>
      <c r="Q60" s="356"/>
      <c r="R60" s="103"/>
      <c r="S60" s="211"/>
      <c r="U60" s="86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I60" s="86"/>
      <c r="AJ60" s="86"/>
      <c r="AK60" s="86"/>
    </row>
    <row r="61" spans="1:37" s="33" customFormat="1" ht="23.25" customHeight="1" thickBot="1">
      <c r="A61" s="228" t="s">
        <v>31</v>
      </c>
      <c r="B61" s="214"/>
      <c r="C61" s="231">
        <f>COUNTIF(C56:C60,"&gt;0")</f>
        <v>3</v>
      </c>
      <c r="D61" s="231">
        <f>COUNTIF(D56:D60,"&gt;0")</f>
        <v>0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3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U61" s="86"/>
      <c r="V61" s="305"/>
      <c r="W61" s="86"/>
      <c r="X61" s="86"/>
      <c r="Y61" s="86"/>
      <c r="Z61" s="86"/>
      <c r="AA61" s="86"/>
      <c r="AB61" s="305"/>
      <c r="AI61" s="86"/>
      <c r="AJ61" s="86"/>
      <c r="AK61" s="86"/>
    </row>
    <row r="62" spans="1:34" s="86" customFormat="1" ht="36" customHeight="1" thickBot="1">
      <c r="A62" s="85"/>
      <c r="H62" s="33"/>
      <c r="I62" s="93"/>
      <c r="J62" s="93"/>
      <c r="K62" s="93"/>
      <c r="L62" s="93"/>
      <c r="M62" s="93"/>
      <c r="T62" s="33"/>
      <c r="V62" s="305"/>
      <c r="AB62" s="305"/>
      <c r="AC62" s="33"/>
      <c r="AD62" s="33"/>
      <c r="AE62" s="33"/>
      <c r="AF62" s="33"/>
      <c r="AG62" s="33"/>
      <c r="AH62" s="33"/>
    </row>
    <row r="63" spans="1:37" s="33" customFormat="1" ht="27.75" customHeight="1">
      <c r="A63" s="206"/>
      <c r="B63" s="207" t="s">
        <v>0</v>
      </c>
      <c r="C63" s="360" t="str">
        <f>C20</f>
        <v>Jouni I. Kataja</v>
      </c>
      <c r="D63" s="360"/>
      <c r="E63" s="360"/>
      <c r="F63" s="360"/>
      <c r="G63" s="360"/>
      <c r="H63" s="236">
        <f>IF(OR(H64="L",C63=0),0,1)</f>
        <v>1</v>
      </c>
      <c r="I63" s="217"/>
      <c r="J63" s="208"/>
      <c r="K63" s="209" t="s">
        <v>0</v>
      </c>
      <c r="L63" s="360" t="str">
        <f>J20</f>
        <v>Tobias Lindholm</v>
      </c>
      <c r="M63" s="360"/>
      <c r="N63" s="360"/>
      <c r="O63" s="360"/>
      <c r="P63" s="360"/>
      <c r="Q63" s="383"/>
      <c r="R63" s="383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84"/>
      <c r="J64" s="38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7" t="s">
        <v>29</v>
      </c>
      <c r="P65" s="358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24</v>
      </c>
      <c r="D66" s="103">
        <v>50</v>
      </c>
      <c r="E66" s="108">
        <f>IF(C66=0,"",IF(C66=0,0,501-D66))</f>
        <v>451</v>
      </c>
      <c r="F66" s="103"/>
      <c r="G66" s="103"/>
      <c r="H66" s="106">
        <f>IF(AND(H63=1,S63=0),1,IF(COUNT(C66:C70)&gt;2,IF(COUNT(D66:D70)=3,0,1),0))</f>
        <v>0</v>
      </c>
      <c r="I66" s="218"/>
      <c r="J66" s="105"/>
      <c r="K66" s="221">
        <v>1</v>
      </c>
      <c r="L66" s="103">
        <v>26</v>
      </c>
      <c r="M66" s="109"/>
      <c r="N66" s="108">
        <f>IF(L66=0," ",IF(L66=0,0,501-M66))</f>
        <v>501</v>
      </c>
      <c r="O66" s="354">
        <v>2</v>
      </c>
      <c r="P66" s="355"/>
      <c r="Q66" s="356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I66" s="86"/>
      <c r="AJ66" s="86"/>
      <c r="AK66" s="86"/>
    </row>
    <row r="67" spans="1:37" s="33" customFormat="1" ht="30.75" customHeight="1">
      <c r="A67" s="367" t="s">
        <v>32</v>
      </c>
      <c r="B67" s="221">
        <v>2</v>
      </c>
      <c r="C67" s="103">
        <v>33</v>
      </c>
      <c r="D67" s="103">
        <v>20</v>
      </c>
      <c r="E67" s="108">
        <f>IF(C67=0," ",IF(C67=0,0,501-D67))</f>
        <v>481</v>
      </c>
      <c r="F67" s="103"/>
      <c r="G67" s="103"/>
      <c r="H67" s="44"/>
      <c r="I67" s="218"/>
      <c r="J67" s="105"/>
      <c r="K67" s="221">
        <v>2</v>
      </c>
      <c r="L67" s="103">
        <v>32</v>
      </c>
      <c r="M67" s="109"/>
      <c r="N67" s="108">
        <f>IF(L67=0," ",IF(L67=0,0,501-M67))</f>
        <v>501</v>
      </c>
      <c r="O67" s="354">
        <v>2</v>
      </c>
      <c r="P67" s="355"/>
      <c r="Q67" s="356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I67" s="86"/>
      <c r="AJ67" s="86"/>
      <c r="AK67" s="86"/>
    </row>
    <row r="68" spans="1:37" s="33" customFormat="1" ht="30.75" customHeight="1">
      <c r="A68" s="368"/>
      <c r="B68" s="221">
        <v>3</v>
      </c>
      <c r="C68" s="103">
        <v>30</v>
      </c>
      <c r="D68" s="103">
        <v>35</v>
      </c>
      <c r="E68" s="108">
        <f>IF(C68=0," ",IF(C68=0,0,501-D68))</f>
        <v>466</v>
      </c>
      <c r="F68" s="103"/>
      <c r="G68" s="103"/>
      <c r="H68" s="44"/>
      <c r="I68" s="218"/>
      <c r="J68" s="105"/>
      <c r="K68" s="221">
        <v>3</v>
      </c>
      <c r="L68" s="103">
        <v>31</v>
      </c>
      <c r="M68" s="109"/>
      <c r="N68" s="108">
        <f>IF(L68=0," ",IF(L68=0,0,501-M68))</f>
        <v>501</v>
      </c>
      <c r="O68" s="354"/>
      <c r="P68" s="355"/>
      <c r="Q68" s="356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I68" s="86"/>
      <c r="AJ68" s="86"/>
      <c r="AK68" s="86"/>
    </row>
    <row r="69" spans="1:37" s="33" customFormat="1" ht="30.75" customHeight="1">
      <c r="A69" s="368"/>
      <c r="B69" s="221">
        <v>4</v>
      </c>
      <c r="C69" s="103"/>
      <c r="D69" s="103"/>
      <c r="E69" s="108" t="str">
        <f>IF(C69=0," ",IF(C69=0,0,501-D69))</f>
        <v> </v>
      </c>
      <c r="F69" s="103"/>
      <c r="G69" s="103"/>
      <c r="H69" s="44"/>
      <c r="I69" s="218"/>
      <c r="J69" s="105"/>
      <c r="K69" s="221">
        <v>4</v>
      </c>
      <c r="L69" s="103"/>
      <c r="M69" s="109"/>
      <c r="N69" s="108" t="str">
        <f>IF(L69=0," ",IF(L69=0,0,501-M69))</f>
        <v> </v>
      </c>
      <c r="O69" s="354"/>
      <c r="P69" s="355"/>
      <c r="Q69" s="356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3"/>
      <c r="E70" s="108" t="str">
        <f>IF(C70=0," ",IF(C70=0,0,501-D70))</f>
        <v> </v>
      </c>
      <c r="F70" s="103"/>
      <c r="G70" s="103"/>
      <c r="H70" s="44"/>
      <c r="I70" s="218"/>
      <c r="J70" s="105"/>
      <c r="K70" s="221">
        <v>5</v>
      </c>
      <c r="L70" s="103"/>
      <c r="M70" s="109"/>
      <c r="N70" s="108" t="str">
        <f>IF(L70=0," ",IF(L70=0,0,501-M70))</f>
        <v> </v>
      </c>
      <c r="O70" s="354"/>
      <c r="P70" s="355"/>
      <c r="Q70" s="356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3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3</v>
      </c>
      <c r="M71" s="231">
        <f>COUNTIF(M66:M70,"&gt;0")</f>
        <v>0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I71" s="86"/>
      <c r="AJ71" s="86"/>
      <c r="AK71" s="86"/>
    </row>
    <row r="72" spans="1:34" s="86" customFormat="1" ht="36.75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C72" s="33"/>
      <c r="AD72" s="33"/>
      <c r="AE72" s="33"/>
      <c r="AF72" s="33"/>
      <c r="AG72" s="33"/>
      <c r="AH72" s="33"/>
    </row>
    <row r="73" spans="1:37" s="33" customFormat="1" ht="27" customHeight="1">
      <c r="A73" s="206"/>
      <c r="B73" s="207" t="s">
        <v>0</v>
      </c>
      <c r="C73" s="360" t="str">
        <f>C21</f>
        <v>Tomi Aaltonen</v>
      </c>
      <c r="D73" s="360"/>
      <c r="E73" s="360"/>
      <c r="F73" s="360"/>
      <c r="G73" s="360"/>
      <c r="H73" s="236">
        <f>IF(OR(H74="L",C73=0),0,1)</f>
        <v>1</v>
      </c>
      <c r="I73" s="217"/>
      <c r="J73" s="208"/>
      <c r="K73" s="209" t="s">
        <v>0</v>
      </c>
      <c r="L73" s="360" t="str">
        <f>J21</f>
        <v>Mikael Nyholm</v>
      </c>
      <c r="M73" s="360"/>
      <c r="N73" s="360"/>
      <c r="O73" s="360"/>
      <c r="P73" s="360"/>
      <c r="Q73" s="383"/>
      <c r="R73" s="383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84"/>
      <c r="J74" s="38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7" t="s">
        <v>29</v>
      </c>
      <c r="P75" s="358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42</v>
      </c>
      <c r="D76" s="103">
        <v>12</v>
      </c>
      <c r="E76" s="108">
        <f>IF(C76=0,"",IF(C76=0,0,501-D76))</f>
        <v>489</v>
      </c>
      <c r="F76" s="103">
        <v>2</v>
      </c>
      <c r="G76" s="103"/>
      <c r="H76" s="235">
        <f>IF(AND(H73=1,S73=0),1,IF(COUNT(C76:C80)&gt;2,IF(COUNT(D76:D80)=3,0,1),0))</f>
        <v>0</v>
      </c>
      <c r="I76" s="218"/>
      <c r="J76" s="105"/>
      <c r="K76" s="221">
        <v>1</v>
      </c>
      <c r="L76" s="103">
        <v>41</v>
      </c>
      <c r="M76" s="109"/>
      <c r="N76" s="108">
        <f>IF(L76=0," ",IF(L76=0,0,501-M76))</f>
        <v>501</v>
      </c>
      <c r="O76" s="354"/>
      <c r="P76" s="355"/>
      <c r="Q76" s="356"/>
      <c r="R76" s="103"/>
      <c r="S76" s="211"/>
      <c r="U76" s="104">
        <f>IF(AND(S73=1,H73=0),1,IF(COUNT(L76:L80)&gt;2,IF(COUNT(M76:M80)=3,0,1),0))</f>
        <v>1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I76" s="86"/>
      <c r="AJ76" s="86"/>
      <c r="AK76" s="86"/>
    </row>
    <row r="77" spans="1:37" s="33" customFormat="1" ht="30.75" customHeight="1">
      <c r="A77" s="367" t="s">
        <v>33</v>
      </c>
      <c r="B77" s="221">
        <v>2</v>
      </c>
      <c r="C77" s="103">
        <v>27</v>
      </c>
      <c r="D77" s="103">
        <v>41</v>
      </c>
      <c r="E77" s="108">
        <f>IF(C77=0," ",IF(C77=0,0,501-D77))</f>
        <v>460</v>
      </c>
      <c r="F77" s="103">
        <v>2</v>
      </c>
      <c r="G77" s="103"/>
      <c r="H77" s="211"/>
      <c r="I77" s="218"/>
      <c r="J77" s="105"/>
      <c r="K77" s="221">
        <v>2</v>
      </c>
      <c r="L77" s="103">
        <v>28</v>
      </c>
      <c r="M77" s="109"/>
      <c r="N77" s="108">
        <f>IF(L77=0," ",IF(L77=0,0,501-M77))</f>
        <v>501</v>
      </c>
      <c r="O77" s="354"/>
      <c r="P77" s="355"/>
      <c r="Q77" s="356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I77" s="86"/>
      <c r="AJ77" s="86"/>
      <c r="AK77" s="86"/>
    </row>
    <row r="78" spans="1:37" s="33" customFormat="1" ht="30.75" customHeight="1">
      <c r="A78" s="368"/>
      <c r="B78" s="221">
        <v>3</v>
      </c>
      <c r="C78" s="103">
        <v>28</v>
      </c>
      <c r="D78" s="103"/>
      <c r="E78" s="108">
        <f>IF(C78=0," ",IF(C78=0,0,501-D78))</f>
        <v>501</v>
      </c>
      <c r="F78" s="103">
        <v>3</v>
      </c>
      <c r="G78" s="103">
        <v>1</v>
      </c>
      <c r="H78" s="211"/>
      <c r="I78" s="218"/>
      <c r="J78" s="105"/>
      <c r="K78" s="221">
        <v>3</v>
      </c>
      <c r="L78" s="103">
        <v>27</v>
      </c>
      <c r="M78" s="109">
        <v>148</v>
      </c>
      <c r="N78" s="108">
        <f>IF(L78=0," ",IF(L78=0,0,501-M78))</f>
        <v>353</v>
      </c>
      <c r="O78" s="354"/>
      <c r="P78" s="355"/>
      <c r="Q78" s="356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I78" s="86"/>
      <c r="AJ78" s="86"/>
      <c r="AK78" s="86"/>
    </row>
    <row r="79" spans="1:37" s="33" customFormat="1" ht="30.75" customHeight="1">
      <c r="A79" s="368"/>
      <c r="B79" s="221">
        <v>4</v>
      </c>
      <c r="C79" s="103">
        <v>26</v>
      </c>
      <c r="D79" s="103"/>
      <c r="E79" s="108">
        <f>IF(C79=0," ",IF(C79=0,0,501-D79))</f>
        <v>501</v>
      </c>
      <c r="F79" s="103">
        <v>2</v>
      </c>
      <c r="G79" s="103"/>
      <c r="H79" s="211"/>
      <c r="I79" s="218"/>
      <c r="J79" s="105"/>
      <c r="K79" s="221">
        <v>4</v>
      </c>
      <c r="L79" s="103">
        <v>27</v>
      </c>
      <c r="M79" s="109">
        <v>48</v>
      </c>
      <c r="N79" s="108">
        <f>IF(L79=0," ",IF(L79=0,0,501-M79))</f>
        <v>453</v>
      </c>
      <c r="O79" s="354"/>
      <c r="P79" s="355"/>
      <c r="Q79" s="356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>
        <v>24</v>
      </c>
      <c r="D80" s="103">
        <v>88</v>
      </c>
      <c r="E80" s="108">
        <f>IF(C80=0," ",IF(C80=0,0,501-D80))</f>
        <v>413</v>
      </c>
      <c r="F80" s="103">
        <v>1</v>
      </c>
      <c r="G80" s="103"/>
      <c r="H80" s="211"/>
      <c r="I80" s="218"/>
      <c r="J80" s="105"/>
      <c r="K80" s="221">
        <v>5</v>
      </c>
      <c r="L80" s="103">
        <v>22</v>
      </c>
      <c r="M80" s="109"/>
      <c r="N80" s="108">
        <f>IF(L80=0," ",IF(L80=0,0,501-M80))</f>
        <v>501</v>
      </c>
      <c r="O80" s="354">
        <v>2</v>
      </c>
      <c r="P80" s="355"/>
      <c r="Q80" s="356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5</v>
      </c>
      <c r="D81" s="231">
        <f>COUNTIF(D76:D80,"&gt;0")</f>
        <v>3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5</v>
      </c>
      <c r="M81" s="231">
        <f>COUNTIF(M76:M80,"&gt;0")</f>
        <v>2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I81" s="86"/>
      <c r="AJ81" s="86"/>
      <c r="AK81" s="86"/>
    </row>
    <row r="82" spans="1:34" s="86" customFormat="1" ht="36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C82" s="33"/>
      <c r="AD82" s="33"/>
      <c r="AE82" s="33"/>
      <c r="AF82" s="33"/>
      <c r="AG82" s="33"/>
      <c r="AH82" s="33"/>
    </row>
    <row r="83" spans="1:37" s="33" customFormat="1" ht="29.25" customHeight="1">
      <c r="A83" s="206"/>
      <c r="B83" s="207" t="s">
        <v>0</v>
      </c>
      <c r="C83" s="360" t="str">
        <f>C22</f>
        <v>Seppo Makkonen</v>
      </c>
      <c r="D83" s="360"/>
      <c r="E83" s="360"/>
      <c r="F83" s="360"/>
      <c r="G83" s="360"/>
      <c r="H83" s="236">
        <f>IF(OR(H84="L",C83=0),0,1)</f>
        <v>1</v>
      </c>
      <c r="I83" s="217"/>
      <c r="J83" s="208"/>
      <c r="K83" s="209" t="s">
        <v>0</v>
      </c>
      <c r="L83" s="360" t="str">
        <f>J22</f>
        <v>Sakari Kinnunen</v>
      </c>
      <c r="M83" s="360"/>
      <c r="N83" s="360"/>
      <c r="O83" s="360"/>
      <c r="P83" s="360"/>
      <c r="Q83" s="383"/>
      <c r="R83" s="383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84"/>
      <c r="J84" s="38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7" t="s">
        <v>29</v>
      </c>
      <c r="P85" s="358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27</v>
      </c>
      <c r="D86" s="103">
        <v>32</v>
      </c>
      <c r="E86" s="108">
        <f>IF(C86=0," ",IF(C86=0,0,501-D86))</f>
        <v>469</v>
      </c>
      <c r="F86" s="103">
        <v>1</v>
      </c>
      <c r="G86" s="103"/>
      <c r="H86" s="235">
        <f>IF(AND(H83=1,S83=0),1,IF(COUNT(C86:C90)&gt;2,IF(COUNT(D86:D90)=3,0,1),0))</f>
        <v>0</v>
      </c>
      <c r="I86" s="218"/>
      <c r="J86" s="105"/>
      <c r="K86" s="221">
        <v>1</v>
      </c>
      <c r="L86" s="103">
        <v>28</v>
      </c>
      <c r="M86" s="109"/>
      <c r="N86" s="108">
        <f>IF(L86=0," ",IF(L86=0,0,501-M86))</f>
        <v>501</v>
      </c>
      <c r="O86" s="354">
        <v>2</v>
      </c>
      <c r="P86" s="355"/>
      <c r="Q86" s="356"/>
      <c r="R86" s="103"/>
      <c r="S86" s="211"/>
      <c r="U86" s="104">
        <f>IF(AND(S83=1,H83=0),1,IF(COUNT(L86:L90)&gt;2,IF(COUNT(M86:M90)=3,0,1),0))</f>
        <v>1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I86" s="86"/>
      <c r="AJ86" s="86"/>
      <c r="AK86" s="86"/>
    </row>
    <row r="87" spans="1:37" s="33" customFormat="1" ht="30" customHeight="1">
      <c r="A87" s="367" t="s">
        <v>34</v>
      </c>
      <c r="B87" s="221">
        <v>2</v>
      </c>
      <c r="C87" s="103">
        <v>24</v>
      </c>
      <c r="D87" s="103">
        <v>132</v>
      </c>
      <c r="E87" s="108">
        <f>IF(C87=0," ",IF(C87=0,0,501-D87))</f>
        <v>369</v>
      </c>
      <c r="F87" s="103">
        <v>1</v>
      </c>
      <c r="G87" s="103"/>
      <c r="H87" s="233"/>
      <c r="I87" s="218"/>
      <c r="J87" s="105"/>
      <c r="K87" s="221">
        <v>2</v>
      </c>
      <c r="L87" s="103">
        <v>23</v>
      </c>
      <c r="M87" s="109"/>
      <c r="N87" s="108">
        <f>IF(L87=0," ",IF(L87=0,0,501-M87))</f>
        <v>501</v>
      </c>
      <c r="O87" s="354">
        <v>1</v>
      </c>
      <c r="P87" s="355"/>
      <c r="Q87" s="356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I87" s="86"/>
      <c r="AJ87" s="86"/>
      <c r="AK87" s="86"/>
    </row>
    <row r="88" spans="1:37" s="33" customFormat="1" ht="30" customHeight="1">
      <c r="A88" s="368"/>
      <c r="B88" s="221">
        <v>3</v>
      </c>
      <c r="C88" s="103">
        <v>30</v>
      </c>
      <c r="D88" s="103"/>
      <c r="E88" s="108">
        <f>IF(C88=0," ",IF(C88=0,0,501-D88))</f>
        <v>501</v>
      </c>
      <c r="F88" s="103">
        <v>2</v>
      </c>
      <c r="G88" s="103"/>
      <c r="H88" s="211"/>
      <c r="I88" s="218"/>
      <c r="J88" s="105"/>
      <c r="K88" s="221">
        <v>3</v>
      </c>
      <c r="L88" s="103">
        <v>30</v>
      </c>
      <c r="M88" s="109">
        <v>16</v>
      </c>
      <c r="N88" s="108">
        <f>IF(L88=0," ",IF(L88=0,0,501-M88))</f>
        <v>485</v>
      </c>
      <c r="O88" s="354"/>
      <c r="P88" s="355"/>
      <c r="Q88" s="356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I88" s="86"/>
      <c r="AJ88" s="86"/>
      <c r="AK88" s="86"/>
    </row>
    <row r="89" spans="1:37" s="33" customFormat="1" ht="30" customHeight="1">
      <c r="A89" s="368"/>
      <c r="B89" s="221">
        <v>4</v>
      </c>
      <c r="C89" s="103">
        <v>29</v>
      </c>
      <c r="D89" s="103"/>
      <c r="E89" s="108">
        <f>IF(C89=0," ",IF(C89=0,0,501-D89))</f>
        <v>501</v>
      </c>
      <c r="F89" s="103">
        <v>1</v>
      </c>
      <c r="G89" s="103"/>
      <c r="H89" s="211"/>
      <c r="I89" s="218"/>
      <c r="J89" s="105"/>
      <c r="K89" s="221">
        <v>4</v>
      </c>
      <c r="L89" s="103">
        <v>27</v>
      </c>
      <c r="M89" s="109">
        <v>14</v>
      </c>
      <c r="N89" s="108">
        <f>IF(L89=0," ",IF(L89=0,0,501-M89))</f>
        <v>487</v>
      </c>
      <c r="O89" s="354"/>
      <c r="P89" s="355"/>
      <c r="Q89" s="356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I89" s="86"/>
      <c r="AJ89" s="86"/>
      <c r="AK89" s="86"/>
    </row>
    <row r="90" spans="1:37" s="33" customFormat="1" ht="30" customHeight="1">
      <c r="A90" s="210"/>
      <c r="B90" s="221">
        <v>5</v>
      </c>
      <c r="C90" s="103">
        <v>18</v>
      </c>
      <c r="D90" s="103">
        <v>138</v>
      </c>
      <c r="E90" s="108">
        <f>IF(C90=0," ",IF(C90=0,0,501-D90))</f>
        <v>363</v>
      </c>
      <c r="F90" s="103">
        <v>1</v>
      </c>
      <c r="G90" s="103"/>
      <c r="H90" s="211"/>
      <c r="I90" s="218"/>
      <c r="J90" s="105"/>
      <c r="K90" s="221">
        <v>5</v>
      </c>
      <c r="L90" s="103">
        <v>21</v>
      </c>
      <c r="M90" s="109"/>
      <c r="N90" s="108">
        <f>IF(L90=0," ",IF(L90=0,0,501-M90))</f>
        <v>501</v>
      </c>
      <c r="O90" s="354">
        <v>2</v>
      </c>
      <c r="P90" s="355"/>
      <c r="Q90" s="356"/>
      <c r="R90" s="103">
        <v>1</v>
      </c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5</v>
      </c>
      <c r="D91" s="231">
        <f>COUNTIF(D86:D90,"&gt;0")</f>
        <v>3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5</v>
      </c>
      <c r="M91" s="231">
        <f>COUNTIF(M86:M90,"&gt;0")</f>
        <v>2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I91" s="86"/>
      <c r="AJ91" s="86"/>
      <c r="AK91" s="86"/>
    </row>
    <row r="92" spans="1:34" s="86" customFormat="1" ht="36" customHeight="1" thickBot="1">
      <c r="A92" s="85"/>
      <c r="B92" s="94" t="s">
        <v>34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X92" s="85"/>
      <c r="AB92" s="305"/>
      <c r="AC92" s="33"/>
      <c r="AD92" s="33"/>
      <c r="AE92" s="33"/>
      <c r="AF92" s="33"/>
      <c r="AG92" s="33"/>
      <c r="AH92" s="33"/>
    </row>
    <row r="93" spans="1:37" s="33" customFormat="1" ht="30" customHeight="1">
      <c r="A93" s="206"/>
      <c r="B93" s="207" t="s">
        <v>0</v>
      </c>
      <c r="C93" s="360" t="str">
        <f>C23</f>
        <v>Rami Mondolin</v>
      </c>
      <c r="D93" s="360"/>
      <c r="E93" s="360"/>
      <c r="F93" s="360"/>
      <c r="G93" s="360"/>
      <c r="H93" s="236">
        <f>IF(OR(H94="L",C93=0),0,1)</f>
        <v>1</v>
      </c>
      <c r="I93" s="217"/>
      <c r="J93" s="208"/>
      <c r="K93" s="209" t="s">
        <v>0</v>
      </c>
      <c r="L93" s="360" t="str">
        <f>J23</f>
        <v>Tobias Lindholm</v>
      </c>
      <c r="M93" s="360"/>
      <c r="N93" s="360"/>
      <c r="O93" s="360"/>
      <c r="P93" s="360"/>
      <c r="Q93" s="383"/>
      <c r="R93" s="383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84"/>
      <c r="J94" s="38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7" t="s">
        <v>29</v>
      </c>
      <c r="P95" s="358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25</v>
      </c>
      <c r="D96" s="103"/>
      <c r="E96" s="108">
        <f>IF(C96=0," ",IF(C96=0,0,501-D96))</f>
        <v>501</v>
      </c>
      <c r="F96" s="103">
        <v>1</v>
      </c>
      <c r="G96" s="103"/>
      <c r="H96" s="235">
        <f>IF(AND(H93=1,S93=0),1,IF(COUNT(C96:C100)&gt;2,IF(COUNT(D96:D100)=3,0,1),0))</f>
        <v>0</v>
      </c>
      <c r="I96" s="218"/>
      <c r="J96" s="105"/>
      <c r="K96" s="221">
        <v>1</v>
      </c>
      <c r="L96" s="103">
        <v>24</v>
      </c>
      <c r="M96" s="109">
        <v>16</v>
      </c>
      <c r="N96" s="108">
        <f>IF(L96=0," ",IF(L96=0,0,501-M96))</f>
        <v>485</v>
      </c>
      <c r="O96" s="354">
        <v>1</v>
      </c>
      <c r="P96" s="355"/>
      <c r="Q96" s="356"/>
      <c r="R96" s="103"/>
      <c r="S96" s="211"/>
      <c r="U96" s="104">
        <f>IF(AND(S93=1,H93=0),1,IF(COUNT(L96:L100)&gt;2,IF(COUNT(M96:M100)=3,0,1),0))</f>
        <v>1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I96" s="86"/>
      <c r="AJ96" s="86"/>
      <c r="AK96" s="86"/>
    </row>
    <row r="97" spans="1:37" s="33" customFormat="1" ht="30.75" customHeight="1">
      <c r="A97" s="367" t="s">
        <v>35</v>
      </c>
      <c r="B97" s="221">
        <v>2</v>
      </c>
      <c r="C97" s="103">
        <v>24</v>
      </c>
      <c r="D97" s="103">
        <v>28</v>
      </c>
      <c r="E97" s="108">
        <f>IF(C97=0," ",IF(C97=0,0,501-D97))</f>
        <v>473</v>
      </c>
      <c r="F97" s="103">
        <v>1</v>
      </c>
      <c r="G97" s="103"/>
      <c r="H97" s="233"/>
      <c r="I97" s="218"/>
      <c r="J97" s="105"/>
      <c r="K97" s="221">
        <v>2</v>
      </c>
      <c r="L97" s="103">
        <v>25</v>
      </c>
      <c r="M97" s="109"/>
      <c r="N97" s="108">
        <f>IF(L97=0," ",IF(L97=0,0,501-M97))</f>
        <v>501</v>
      </c>
      <c r="O97" s="354">
        <v>1</v>
      </c>
      <c r="P97" s="355"/>
      <c r="Q97" s="356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I97" s="86"/>
      <c r="AJ97" s="86"/>
      <c r="AK97" s="86"/>
    </row>
    <row r="98" spans="1:37" s="33" customFormat="1" ht="30.75" customHeight="1">
      <c r="A98" s="368"/>
      <c r="B98" s="221">
        <v>3</v>
      </c>
      <c r="C98" s="103">
        <v>24</v>
      </c>
      <c r="D98" s="103">
        <v>210</v>
      </c>
      <c r="E98" s="108">
        <f>IF(C98=0," ",IF(C98=0,0,501-D98))</f>
        <v>291</v>
      </c>
      <c r="F98" s="103"/>
      <c r="G98" s="103"/>
      <c r="H98" s="211"/>
      <c r="I98" s="218"/>
      <c r="J98" s="105"/>
      <c r="K98" s="221">
        <v>3</v>
      </c>
      <c r="L98" s="103">
        <v>24</v>
      </c>
      <c r="M98" s="109"/>
      <c r="N98" s="108">
        <f>IF(L98=0," ",IF(L98=0,0,501-M98))</f>
        <v>501</v>
      </c>
      <c r="O98" s="354">
        <v>1</v>
      </c>
      <c r="P98" s="355"/>
      <c r="Q98" s="356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I98" s="86"/>
      <c r="AJ98" s="86"/>
      <c r="AK98" s="86"/>
    </row>
    <row r="99" spans="1:37" s="33" customFormat="1" ht="30.75" customHeight="1">
      <c r="A99" s="368"/>
      <c r="B99" s="221">
        <v>4</v>
      </c>
      <c r="C99" s="103">
        <v>21</v>
      </c>
      <c r="D99" s="103">
        <v>150</v>
      </c>
      <c r="E99" s="108">
        <f>IF(C99=0," ",IF(C99=0,0,501-D99))</f>
        <v>351</v>
      </c>
      <c r="F99" s="103">
        <v>1</v>
      </c>
      <c r="G99" s="103"/>
      <c r="H99" s="211"/>
      <c r="I99" s="218"/>
      <c r="J99" s="105"/>
      <c r="K99" s="221">
        <v>4</v>
      </c>
      <c r="L99" s="103">
        <v>24</v>
      </c>
      <c r="M99" s="109"/>
      <c r="N99" s="108">
        <f>IF(L99=0," ",IF(L99=0,0,501-M99))</f>
        <v>501</v>
      </c>
      <c r="O99" s="354">
        <v>1</v>
      </c>
      <c r="P99" s="355"/>
      <c r="Q99" s="356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3"/>
      <c r="E100" s="108" t="str">
        <f>IF(C100=0," ",IF(C100=0,0,501-D100))</f>
        <v> </v>
      </c>
      <c r="F100" s="103"/>
      <c r="G100" s="103"/>
      <c r="H100" s="211"/>
      <c r="I100" s="218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54"/>
      <c r="P100" s="355"/>
      <c r="Q100" s="356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4</v>
      </c>
      <c r="D101" s="231">
        <f>COUNTIF(D96:D100,"&gt;0")</f>
        <v>3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4</v>
      </c>
      <c r="M101" s="231">
        <f>COUNTIF(M96:M100,"&gt;0")</f>
        <v>1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I101" s="86"/>
      <c r="AJ101" s="86"/>
      <c r="AK101" s="86"/>
    </row>
    <row r="102" spans="1:34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  <c r="AC102" s="33"/>
      <c r="AD102" s="33"/>
      <c r="AE102" s="33"/>
      <c r="AF102" s="33"/>
      <c r="AG102" s="33"/>
      <c r="AH102" s="33"/>
    </row>
    <row r="103" spans="1:37" s="33" customFormat="1" ht="30.75" customHeight="1">
      <c r="A103" s="206"/>
      <c r="B103" s="207" t="s">
        <v>0</v>
      </c>
      <c r="C103" s="360" t="str">
        <f>C24</f>
        <v>Jouni I. Kataja</v>
      </c>
      <c r="D103" s="360"/>
      <c r="E103" s="360"/>
      <c r="F103" s="360"/>
      <c r="G103" s="360"/>
      <c r="H103" s="236">
        <f>IF(OR(H104="L",C103=0),0,1)</f>
        <v>1</v>
      </c>
      <c r="I103" s="217"/>
      <c r="J103" s="208"/>
      <c r="K103" s="209" t="s">
        <v>0</v>
      </c>
      <c r="L103" s="360" t="str">
        <f>J24</f>
        <v>Björn Huldin</v>
      </c>
      <c r="M103" s="360"/>
      <c r="N103" s="360"/>
      <c r="O103" s="360"/>
      <c r="P103" s="360"/>
      <c r="Q103" s="383"/>
      <c r="R103" s="383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84"/>
      <c r="J104" s="38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7" t="s">
        <v>29</v>
      </c>
      <c r="P105" s="358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42</v>
      </c>
      <c r="D106" s="103">
        <v>16</v>
      </c>
      <c r="E106" s="108">
        <f>IF(C106=0," ",IF(C106=0,0,501-D106))</f>
        <v>485</v>
      </c>
      <c r="F106" s="103"/>
      <c r="G106" s="103"/>
      <c r="H106" s="235">
        <f>IF(AND(H103=1,S103=0),1,IF(COUNT(C106:C110)&gt;2,IF(COUNT(D106:D110)=3,0,1),0))</f>
        <v>0</v>
      </c>
      <c r="I106" s="218"/>
      <c r="J106" s="105"/>
      <c r="K106" s="221">
        <v>1</v>
      </c>
      <c r="L106" s="103">
        <v>45</v>
      </c>
      <c r="M106" s="109"/>
      <c r="N106" s="108">
        <f>IF(L106=0," ",IF(L106=0,0,501-M106))</f>
        <v>501</v>
      </c>
      <c r="O106" s="354"/>
      <c r="P106" s="355"/>
      <c r="Q106" s="356"/>
      <c r="R106" s="103"/>
      <c r="S106" s="211"/>
      <c r="U106" s="104">
        <f>IF(AND(S103=1,H103=0),1,IF(COUNT(L106:L110)&gt;2,IF(COUNT(M106:M110)=3,0,1),0))</f>
        <v>1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I106" s="86"/>
      <c r="AJ106" s="86"/>
      <c r="AK106" s="86"/>
    </row>
    <row r="107" spans="1:37" s="33" customFormat="1" ht="30" customHeight="1">
      <c r="A107" s="367" t="s">
        <v>36</v>
      </c>
      <c r="B107" s="221">
        <v>2</v>
      </c>
      <c r="C107" s="103">
        <v>21</v>
      </c>
      <c r="D107" s="103">
        <v>261</v>
      </c>
      <c r="E107" s="108">
        <f>IF(C107=0," ",IF(C107=0,0,501-D107))</f>
        <v>240</v>
      </c>
      <c r="F107" s="103"/>
      <c r="G107" s="103"/>
      <c r="H107" s="211"/>
      <c r="I107" s="218"/>
      <c r="J107" s="105"/>
      <c r="K107" s="221">
        <v>2</v>
      </c>
      <c r="L107" s="103">
        <v>20</v>
      </c>
      <c r="M107" s="109"/>
      <c r="N107" s="108">
        <f>IF(L107=0," ",IF(L107=0,0,501-M107))</f>
        <v>501</v>
      </c>
      <c r="O107" s="354">
        <v>2</v>
      </c>
      <c r="P107" s="355"/>
      <c r="Q107" s="356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I107" s="86"/>
      <c r="AJ107" s="86"/>
      <c r="AK107" s="86"/>
    </row>
    <row r="108" spans="1:37" s="33" customFormat="1" ht="30" customHeight="1">
      <c r="A108" s="368"/>
      <c r="B108" s="221">
        <v>3</v>
      </c>
      <c r="C108" s="103">
        <v>34</v>
      </c>
      <c r="D108" s="103"/>
      <c r="E108" s="108">
        <f>IF(C108=0," ",IF(C108=0,0,501-D108))</f>
        <v>501</v>
      </c>
      <c r="F108" s="103">
        <v>1</v>
      </c>
      <c r="G108" s="103"/>
      <c r="H108" s="211"/>
      <c r="I108" s="218"/>
      <c r="J108" s="105"/>
      <c r="K108" s="221">
        <v>3</v>
      </c>
      <c r="L108" s="103">
        <v>36</v>
      </c>
      <c r="M108" s="109">
        <v>5</v>
      </c>
      <c r="N108" s="108">
        <f>IF(L108=0," ",IF(L108=0,0,501-M108))</f>
        <v>496</v>
      </c>
      <c r="O108" s="354"/>
      <c r="P108" s="355"/>
      <c r="Q108" s="356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I108" s="86"/>
      <c r="AJ108" s="86"/>
      <c r="AK108" s="86"/>
    </row>
    <row r="109" spans="1:37" s="33" customFormat="1" ht="30" customHeight="1">
      <c r="A109" s="368"/>
      <c r="B109" s="221">
        <v>4</v>
      </c>
      <c r="C109" s="103">
        <v>33</v>
      </c>
      <c r="D109" s="103"/>
      <c r="E109" s="108">
        <f>IF(C109=0," ",IF(C109=0,0,501-D109))</f>
        <v>501</v>
      </c>
      <c r="F109" s="103"/>
      <c r="G109" s="103"/>
      <c r="H109" s="211"/>
      <c r="I109" s="218"/>
      <c r="J109" s="105"/>
      <c r="K109" s="221">
        <v>4</v>
      </c>
      <c r="L109" s="103">
        <v>30</v>
      </c>
      <c r="M109" s="109">
        <v>65</v>
      </c>
      <c r="N109" s="108">
        <f>IF(L109=0," ",IF(L109=0,0,501-M109))</f>
        <v>436</v>
      </c>
      <c r="O109" s="354"/>
      <c r="P109" s="355"/>
      <c r="Q109" s="356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>
        <v>24</v>
      </c>
      <c r="D110" s="103">
        <v>113</v>
      </c>
      <c r="E110" s="108">
        <f>IF(C110=0," ",IF(C110=0,0,501-D110))</f>
        <v>388</v>
      </c>
      <c r="F110" s="103">
        <v>2</v>
      </c>
      <c r="G110" s="103"/>
      <c r="H110" s="211"/>
      <c r="I110" s="218"/>
      <c r="J110" s="105"/>
      <c r="K110" s="221">
        <v>5</v>
      </c>
      <c r="L110" s="103">
        <v>25</v>
      </c>
      <c r="M110" s="109"/>
      <c r="N110" s="108">
        <f>IF(L110=0," ",IF(L110=0,0,501-M110))</f>
        <v>501</v>
      </c>
      <c r="O110" s="354">
        <v>2</v>
      </c>
      <c r="P110" s="355"/>
      <c r="Q110" s="356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5</v>
      </c>
      <c r="D111" s="231">
        <f>COUNTIF(D106:D110,"&gt;0")</f>
        <v>3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5</v>
      </c>
      <c r="M111" s="231">
        <f>COUNTIF(M106:M110,"&gt;0")</f>
        <v>2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I111" s="86"/>
      <c r="AJ111" s="86"/>
      <c r="AK111" s="86"/>
    </row>
    <row r="112" spans="1:34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  <c r="AC112" s="33"/>
      <c r="AD112" s="33"/>
      <c r="AE112" s="33"/>
      <c r="AF112" s="33"/>
      <c r="AG112" s="33"/>
      <c r="AH112" s="33"/>
    </row>
    <row r="113" spans="1:37" s="33" customFormat="1" ht="29.25" customHeight="1">
      <c r="A113" s="206"/>
      <c r="B113" s="207" t="s">
        <v>0</v>
      </c>
      <c r="C113" s="360" t="str">
        <f>C25</f>
        <v>Tomi Aaltonen</v>
      </c>
      <c r="D113" s="360"/>
      <c r="E113" s="360"/>
      <c r="F113" s="360"/>
      <c r="G113" s="360"/>
      <c r="H113" s="236">
        <f>IF(OR(H114="L",C113=0),0,1)</f>
        <v>1</v>
      </c>
      <c r="I113" s="217"/>
      <c r="J113" s="208"/>
      <c r="K113" s="209" t="s">
        <v>0</v>
      </c>
      <c r="L113" s="360" t="str">
        <f>J25</f>
        <v>Sakari Kinnunen</v>
      </c>
      <c r="M113" s="360"/>
      <c r="N113" s="360"/>
      <c r="O113" s="360"/>
      <c r="P113" s="360"/>
      <c r="Q113" s="383"/>
      <c r="R113" s="383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84"/>
      <c r="J114" s="38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7" t="s">
        <v>29</v>
      </c>
      <c r="P115" s="358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24</v>
      </c>
      <c r="D116" s="103">
        <v>30</v>
      </c>
      <c r="E116" s="108">
        <f>IF(C116=0," ",IF(C116=0,0,501-D116))</f>
        <v>471</v>
      </c>
      <c r="F116" s="103">
        <v>1</v>
      </c>
      <c r="G116" s="103"/>
      <c r="H116" s="235">
        <f>IF(AND(H113=1,S113=0),1,IF(COUNT(C116:C120)&gt;2,IF(COUNT(D116:D120)=3,0,1),0))</f>
        <v>0</v>
      </c>
      <c r="I116" s="218"/>
      <c r="J116" s="105"/>
      <c r="K116" s="221">
        <v>1</v>
      </c>
      <c r="L116" s="103">
        <v>22</v>
      </c>
      <c r="M116" s="109"/>
      <c r="N116" s="108">
        <f>IF(L116=0," ",IF(L116=0,0,501-M116))</f>
        <v>501</v>
      </c>
      <c r="O116" s="354">
        <v>2</v>
      </c>
      <c r="P116" s="355"/>
      <c r="Q116" s="356"/>
      <c r="R116" s="103"/>
      <c r="S116" s="233"/>
      <c r="U116" s="104">
        <f>IF(AND(S113=1,H113=0),1,IF(COUNT(L116:L120)&gt;2,IF(COUNT(M116:M120)=3,0,1),0))</f>
        <v>1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I116" s="86"/>
      <c r="AJ116" s="86"/>
      <c r="AK116" s="86"/>
    </row>
    <row r="117" spans="1:37" s="33" customFormat="1" ht="30" customHeight="1">
      <c r="A117" s="367" t="s">
        <v>37</v>
      </c>
      <c r="B117" s="221">
        <v>2</v>
      </c>
      <c r="C117" s="103">
        <v>15</v>
      </c>
      <c r="D117" s="103">
        <v>277</v>
      </c>
      <c r="E117" s="108">
        <f>IF(C117=0," ",IF(C117=0,0,501-D117))</f>
        <v>224</v>
      </c>
      <c r="F117" s="103">
        <v>1</v>
      </c>
      <c r="G117" s="103"/>
      <c r="H117" s="211"/>
      <c r="I117" s="218"/>
      <c r="J117" s="105"/>
      <c r="K117" s="221">
        <v>2</v>
      </c>
      <c r="L117" s="103">
        <v>17</v>
      </c>
      <c r="M117" s="109"/>
      <c r="N117" s="108">
        <f>IF(L117=0," ",IF(L117=0,0,501-M117))</f>
        <v>501</v>
      </c>
      <c r="O117" s="354">
        <v>1</v>
      </c>
      <c r="P117" s="355"/>
      <c r="Q117" s="356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I117" s="86"/>
      <c r="AJ117" s="86"/>
      <c r="AK117" s="86"/>
    </row>
    <row r="118" spans="1:37" s="33" customFormat="1" ht="30" customHeight="1">
      <c r="A118" s="368"/>
      <c r="B118" s="221">
        <v>3</v>
      </c>
      <c r="C118" s="103">
        <v>27</v>
      </c>
      <c r="D118" s="103">
        <v>150</v>
      </c>
      <c r="E118" s="108">
        <f>IF(C118=0," ",IF(C118=0,0,501-D118))</f>
        <v>351</v>
      </c>
      <c r="F118" s="103">
        <v>1</v>
      </c>
      <c r="G118" s="103"/>
      <c r="H118" s="211"/>
      <c r="I118" s="218"/>
      <c r="J118" s="105"/>
      <c r="K118" s="221">
        <v>3</v>
      </c>
      <c r="L118" s="103">
        <v>26</v>
      </c>
      <c r="M118" s="109"/>
      <c r="N118" s="108">
        <f>IF(L118=0," ",IF(L118=0,0,501-M118))</f>
        <v>501</v>
      </c>
      <c r="O118" s="354">
        <v>1</v>
      </c>
      <c r="P118" s="355"/>
      <c r="Q118" s="356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I118" s="86"/>
      <c r="AJ118" s="86"/>
      <c r="AK118" s="86"/>
    </row>
    <row r="119" spans="1:37" s="33" customFormat="1" ht="30" customHeight="1">
      <c r="A119" s="368"/>
      <c r="B119" s="221">
        <v>4</v>
      </c>
      <c r="C119" s="103"/>
      <c r="D119" s="103"/>
      <c r="E119" s="108" t="str">
        <f>IF(C119=0," ",IF(C119=0,0,501-D119))</f>
        <v> </v>
      </c>
      <c r="F119" s="103"/>
      <c r="G119" s="103"/>
      <c r="H119" s="211"/>
      <c r="I119" s="218"/>
      <c r="J119" s="105"/>
      <c r="K119" s="221">
        <v>4</v>
      </c>
      <c r="L119" s="103"/>
      <c r="M119" s="109"/>
      <c r="N119" s="108" t="str">
        <f>IF(L119=0," ",IF(L119=0,0,501-M119))</f>
        <v> </v>
      </c>
      <c r="O119" s="354"/>
      <c r="P119" s="355"/>
      <c r="Q119" s="356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3"/>
      <c r="E120" s="108" t="str">
        <f>IF(C120=0," ",IF(C120=0,0,501-D120))</f>
        <v> </v>
      </c>
      <c r="F120" s="103"/>
      <c r="G120" s="103"/>
      <c r="H120" s="211"/>
      <c r="I120" s="218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54"/>
      <c r="P120" s="355"/>
      <c r="Q120" s="356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3</v>
      </c>
      <c r="D121" s="231">
        <f>COUNTIF(D116:D120,"&gt;0")</f>
        <v>3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3</v>
      </c>
      <c r="M121" s="231">
        <f>COUNTIF(M116:M120,"&gt;0")</f>
        <v>0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I121" s="86"/>
      <c r="AJ121" s="86"/>
      <c r="AK121" s="86"/>
    </row>
    <row r="122" spans="1:34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C122" s="33"/>
      <c r="AD122" s="33"/>
      <c r="AE122" s="33"/>
      <c r="AF122" s="33"/>
      <c r="AG122" s="33"/>
      <c r="AH122" s="33"/>
    </row>
    <row r="123" spans="1:37" s="33" customFormat="1" ht="29.25" customHeight="1">
      <c r="A123" s="206"/>
      <c r="B123" s="207" t="s">
        <v>0</v>
      </c>
      <c r="C123" s="360" t="str">
        <f>C26</f>
        <v>Seppo Makkonen</v>
      </c>
      <c r="D123" s="360"/>
      <c r="E123" s="360"/>
      <c r="F123" s="360"/>
      <c r="G123" s="360"/>
      <c r="H123" s="236">
        <f>IF(OR(H124="L",C123=0),0,1)</f>
        <v>1</v>
      </c>
      <c r="I123" s="217"/>
      <c r="J123" s="208"/>
      <c r="K123" s="209" t="s">
        <v>0</v>
      </c>
      <c r="L123" s="360" t="str">
        <f>J26</f>
        <v>Mikael Nyholm</v>
      </c>
      <c r="M123" s="360"/>
      <c r="N123" s="360"/>
      <c r="O123" s="360"/>
      <c r="P123" s="360"/>
      <c r="Q123" s="383"/>
      <c r="R123" s="383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84"/>
      <c r="J124" s="38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7" t="s">
        <v>29</v>
      </c>
      <c r="P125" s="358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33</v>
      </c>
      <c r="D126" s="103">
        <v>4</v>
      </c>
      <c r="E126" s="108">
        <f>IF(C126=0," ",IF(C126=0,0,501-D126))</f>
        <v>497</v>
      </c>
      <c r="F126" s="103">
        <v>1</v>
      </c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31</v>
      </c>
      <c r="M126" s="109"/>
      <c r="N126" s="108">
        <f>IF(L126=0," ",IF(L126=0,0,501-M126))</f>
        <v>501</v>
      </c>
      <c r="O126" s="410">
        <v>1</v>
      </c>
      <c r="P126" s="411"/>
      <c r="Q126" s="412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I126" s="86"/>
      <c r="AJ126" s="86"/>
      <c r="AK126" s="86"/>
    </row>
    <row r="127" spans="1:37" s="33" customFormat="1" ht="30" customHeight="1">
      <c r="A127" s="367" t="s">
        <v>38</v>
      </c>
      <c r="B127" s="221">
        <v>2</v>
      </c>
      <c r="C127" s="103">
        <v>44</v>
      </c>
      <c r="D127" s="103"/>
      <c r="E127" s="108">
        <f>IF(C127=0," ",IF(C127=0,0,501-D127))</f>
        <v>501</v>
      </c>
      <c r="F127" s="103"/>
      <c r="G127" s="103"/>
      <c r="H127" s="211"/>
      <c r="I127" s="218"/>
      <c r="J127" s="105"/>
      <c r="K127" s="221">
        <v>2</v>
      </c>
      <c r="L127" s="109">
        <v>45</v>
      </c>
      <c r="M127" s="109">
        <v>2</v>
      </c>
      <c r="N127" s="108">
        <f>IF(L127=0," ",IF(L127=0,0,501-M127))</f>
        <v>499</v>
      </c>
      <c r="O127" s="410"/>
      <c r="P127" s="411"/>
      <c r="Q127" s="412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I127" s="86"/>
      <c r="AJ127" s="86"/>
      <c r="AK127" s="86"/>
    </row>
    <row r="128" spans="1:37" s="33" customFormat="1" ht="30" customHeight="1">
      <c r="A128" s="368"/>
      <c r="B128" s="221">
        <v>3</v>
      </c>
      <c r="C128" s="103">
        <v>31</v>
      </c>
      <c r="D128" s="103"/>
      <c r="E128" s="108">
        <f>IF(C128=0," ",IF(C128=0,0,501-D128))</f>
        <v>501</v>
      </c>
      <c r="F128" s="103">
        <v>1</v>
      </c>
      <c r="G128" s="103"/>
      <c r="H128" s="211"/>
      <c r="I128" s="218"/>
      <c r="J128" s="105"/>
      <c r="K128" s="221">
        <v>3</v>
      </c>
      <c r="L128" s="109">
        <v>30</v>
      </c>
      <c r="M128" s="109">
        <v>32</v>
      </c>
      <c r="N128" s="108">
        <f>IF(L128=0," ",IF(L128=0,0,501-M128))</f>
        <v>469</v>
      </c>
      <c r="O128" s="410">
        <v>1</v>
      </c>
      <c r="P128" s="411"/>
      <c r="Q128" s="412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I128" s="86"/>
      <c r="AJ128" s="86"/>
      <c r="AK128" s="86"/>
    </row>
    <row r="129" spans="1:37" s="33" customFormat="1" ht="30" customHeight="1">
      <c r="A129" s="368"/>
      <c r="B129" s="221">
        <v>4</v>
      </c>
      <c r="C129" s="103">
        <v>24</v>
      </c>
      <c r="D129" s="103">
        <v>40</v>
      </c>
      <c r="E129" s="108">
        <f>IF(C129=0," ",IF(C129=0,0,501-D129))</f>
        <v>461</v>
      </c>
      <c r="F129" s="103">
        <v>1</v>
      </c>
      <c r="G129" s="103"/>
      <c r="H129" s="211"/>
      <c r="I129" s="218"/>
      <c r="J129" s="105"/>
      <c r="K129" s="221">
        <v>4</v>
      </c>
      <c r="L129" s="109">
        <v>26</v>
      </c>
      <c r="M129" s="109"/>
      <c r="N129" s="108">
        <f>IF(L129=0," ",IF(L129=0,0,501-M129))</f>
        <v>501</v>
      </c>
      <c r="O129" s="410">
        <v>1</v>
      </c>
      <c r="P129" s="411"/>
      <c r="Q129" s="412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>
        <v>25</v>
      </c>
      <c r="D130" s="103"/>
      <c r="E130" s="108">
        <f>IF(C130=0," ",IF(C130=0,0,501-D130))</f>
        <v>501</v>
      </c>
      <c r="F130" s="103">
        <v>2</v>
      </c>
      <c r="G130" s="103"/>
      <c r="H130" s="211"/>
      <c r="I130" s="218"/>
      <c r="J130" s="105"/>
      <c r="K130" s="221">
        <v>5</v>
      </c>
      <c r="L130" s="109">
        <v>24</v>
      </c>
      <c r="M130" s="109">
        <v>241</v>
      </c>
      <c r="N130" s="108">
        <f>IF(L130=0," ",IF(L130=0,0,501-M130))</f>
        <v>260</v>
      </c>
      <c r="O130" s="410"/>
      <c r="P130" s="411"/>
      <c r="Q130" s="412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I130" s="86"/>
      <c r="AJ130" s="86"/>
      <c r="AK130" s="86"/>
    </row>
    <row r="131" spans="1:34" s="86" customFormat="1" ht="27.75" customHeight="1" thickBot="1">
      <c r="A131" s="212"/>
      <c r="C131" s="231">
        <f>COUNTIF(C126:C130,"&gt;0")</f>
        <v>5</v>
      </c>
      <c r="D131" s="231">
        <f>COUNTIF(D126:D130,"&gt;0")</f>
        <v>2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5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C131" s="33"/>
      <c r="AD131" s="33"/>
      <c r="AE131" s="33"/>
      <c r="AF131" s="33"/>
      <c r="AG131" s="33"/>
      <c r="AH131" s="33"/>
    </row>
    <row r="132" spans="1:34" s="86" customFormat="1" ht="15">
      <c r="A132" s="85"/>
      <c r="B132" s="94" t="s">
        <v>38</v>
      </c>
      <c r="I132" s="93"/>
      <c r="J132" s="93"/>
      <c r="K132" s="93"/>
      <c r="L132" s="93"/>
      <c r="M132" s="93"/>
      <c r="T132" s="33"/>
      <c r="V132" s="305"/>
      <c r="AB132" s="305"/>
      <c r="AC132" s="33"/>
      <c r="AD132" s="33"/>
      <c r="AE132" s="33"/>
      <c r="AF132" s="33"/>
      <c r="AG132" s="33"/>
      <c r="AH132" s="33"/>
    </row>
    <row r="133" spans="1:34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C133" s="33"/>
      <c r="AD133" s="33"/>
      <c r="AE133" s="33"/>
      <c r="AF133" s="33"/>
      <c r="AG133" s="33"/>
      <c r="AH133" s="33"/>
    </row>
    <row r="134" spans="1:34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C134" s="33"/>
      <c r="AD134" s="33"/>
      <c r="AE134" s="33"/>
      <c r="AF134" s="33"/>
      <c r="AG134" s="33"/>
      <c r="AH134" s="33"/>
    </row>
    <row r="135" spans="9:34" s="86" customFormat="1" ht="15.75" thickBot="1">
      <c r="I135" s="93"/>
      <c r="J135" s="93"/>
      <c r="K135" s="93"/>
      <c r="L135" s="93"/>
      <c r="M135" s="93"/>
      <c r="T135" s="33"/>
      <c r="V135" s="305"/>
      <c r="AB135" s="305"/>
      <c r="AC135" s="33"/>
      <c r="AD135" s="33"/>
      <c r="AE135" s="33"/>
      <c r="AF135" s="33"/>
      <c r="AG135" s="33"/>
      <c r="AH135" s="33"/>
    </row>
    <row r="136" spans="1:34" s="86" customFormat="1" ht="28.5" customHeight="1">
      <c r="A136" s="206"/>
      <c r="B136" s="207" t="s">
        <v>0</v>
      </c>
      <c r="C136" s="360" t="str">
        <f>C27</f>
        <v>Satatikka 2</v>
      </c>
      <c r="D136" s="413"/>
      <c r="E136" s="413"/>
      <c r="F136" s="413"/>
      <c r="G136" s="413"/>
      <c r="H136" s="236">
        <f>IF(OR(H137="L",C136=0),0,1)</f>
        <v>1</v>
      </c>
      <c r="I136" s="217"/>
      <c r="J136" s="208"/>
      <c r="K136" s="209" t="s">
        <v>0</v>
      </c>
      <c r="L136" s="360" t="str">
        <f>J27</f>
        <v>Grönan DC 2</v>
      </c>
      <c r="M136" s="413"/>
      <c r="N136" s="413"/>
      <c r="O136" s="413"/>
      <c r="P136" s="413"/>
      <c r="Q136" s="414"/>
      <c r="R136" s="414"/>
      <c r="S136" s="232">
        <f>IF(OR(I137="L",L136=0),0,1)</f>
        <v>1</v>
      </c>
      <c r="T136" s="33"/>
      <c r="V136" s="305"/>
      <c r="AB136" s="305"/>
      <c r="AC136" s="33"/>
      <c r="AD136" s="33"/>
      <c r="AE136" s="33"/>
      <c r="AF136" s="33"/>
      <c r="AG136" s="33"/>
      <c r="AH136" s="33"/>
    </row>
    <row r="137" spans="1:34" s="86" customFormat="1" ht="15">
      <c r="A137" s="210"/>
      <c r="B137" s="44"/>
      <c r="C137" s="44"/>
      <c r="D137" s="44"/>
      <c r="E137" s="44"/>
      <c r="F137" s="44"/>
      <c r="G137" s="44"/>
      <c r="H137" s="250"/>
      <c r="I137" s="384"/>
      <c r="J137" s="38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C137" s="33"/>
      <c r="AD137" s="33"/>
      <c r="AE137" s="33"/>
      <c r="AF137" s="33"/>
      <c r="AG137" s="33"/>
      <c r="AH137" s="33"/>
    </row>
    <row r="138" spans="1:34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7" t="s">
        <v>29</v>
      </c>
      <c r="P138" s="358"/>
      <c r="Q138" s="102"/>
      <c r="R138" s="100" t="s">
        <v>30</v>
      </c>
      <c r="S138" s="211"/>
      <c r="T138" s="33"/>
      <c r="V138" s="305"/>
      <c r="AB138" s="305"/>
      <c r="AC138" s="33"/>
      <c r="AD138" s="33"/>
      <c r="AE138" s="33"/>
      <c r="AF138" s="33"/>
      <c r="AG138" s="33"/>
      <c r="AH138" s="33"/>
    </row>
    <row r="139" spans="1:34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410"/>
      <c r="P139" s="411"/>
      <c r="Q139" s="412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C139" s="33"/>
      <c r="AD139" s="33"/>
      <c r="AE139" s="33"/>
      <c r="AF139" s="33"/>
      <c r="AG139" s="33"/>
      <c r="AH139" s="33"/>
    </row>
    <row r="140" spans="1:34" s="86" customFormat="1" ht="30.75" customHeight="1">
      <c r="A140" s="367" t="s">
        <v>24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410"/>
      <c r="P140" s="411"/>
      <c r="Q140" s="412"/>
      <c r="R140" s="109"/>
      <c r="S140" s="211"/>
      <c r="T140" s="33"/>
      <c r="V140" s="303" t="str">
        <f>IF(AND(E140=501,N140=501),"TARKISTA JÄI-SARAKE"," ")</f>
        <v> </v>
      </c>
      <c r="W140" s="301"/>
      <c r="X140" s="90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  <c r="AG140" s="33"/>
      <c r="AH140" s="33"/>
    </row>
    <row r="141" spans="1:34" s="86" customFormat="1" ht="30.75" customHeight="1">
      <c r="A141" s="368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410"/>
      <c r="P141" s="411"/>
      <c r="Q141" s="412"/>
      <c r="R141" s="109"/>
      <c r="S141" s="211"/>
      <c r="T141" s="33"/>
      <c r="V141" s="303" t="str">
        <f>IF(AND(E141=501,N141=501),"TARKISTA JÄI-SARAKE"," ")</f>
        <v> </v>
      </c>
      <c r="W141" s="301"/>
      <c r="X141" s="90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  <c r="AG141" s="33"/>
      <c r="AH141" s="33"/>
    </row>
    <row r="142" spans="1:34" s="86" customFormat="1" ht="30.75" customHeight="1">
      <c r="A142" s="368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410"/>
      <c r="P142" s="411"/>
      <c r="Q142" s="412"/>
      <c r="R142" s="109"/>
      <c r="S142" s="211"/>
      <c r="T142" s="33"/>
      <c r="V142" s="303" t="str">
        <f>IF(AND(E142=501,N142=501),"TARKISTA JÄI-SARAKE"," ")</f>
        <v> </v>
      </c>
      <c r="W142" s="301"/>
      <c r="X142" s="90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  <c r="AG142" s="33"/>
      <c r="AH142" s="33"/>
    </row>
    <row r="143" spans="1:34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410"/>
      <c r="P143" s="411"/>
      <c r="Q143" s="412"/>
      <c r="R143" s="109"/>
      <c r="S143" s="211"/>
      <c r="T143" s="33"/>
      <c r="V143" s="303" t="str">
        <f>IF(AND(E143=501,N143=501),"TARKISTA JÄI-SARAKE"," ")</f>
        <v> </v>
      </c>
      <c r="W143" s="301"/>
      <c r="X143" s="90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  <c r="AG143" s="33"/>
      <c r="AH143" s="33"/>
    </row>
    <row r="144" spans="1:34" s="86" customFormat="1" ht="15.7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V144" s="305"/>
      <c r="AB144" s="305"/>
      <c r="AC144" s="33"/>
      <c r="AD144" s="33"/>
      <c r="AE144" s="33"/>
      <c r="AF144" s="33"/>
      <c r="AG144" s="33"/>
      <c r="AH144" s="33"/>
    </row>
    <row r="145" spans="1:34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  <c r="AG145" s="33"/>
      <c r="AH145" s="33"/>
    </row>
    <row r="146" spans="9:34" s="86" customFormat="1" ht="15"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  <c r="AG146" s="33"/>
      <c r="AH146" s="33"/>
    </row>
    <row r="147" spans="1:37" s="33" customFormat="1" ht="150.75" customHeight="1">
      <c r="A147" s="262" t="s">
        <v>69</v>
      </c>
      <c r="B147" s="85"/>
      <c r="C147" s="85"/>
      <c r="D147" s="299" t="s">
        <v>27</v>
      </c>
      <c r="E147" s="299" t="s">
        <v>61</v>
      </c>
      <c r="F147" s="299" t="s">
        <v>58</v>
      </c>
      <c r="G147" s="299" t="s">
        <v>28</v>
      </c>
      <c r="H147" s="299" t="s">
        <v>8</v>
      </c>
      <c r="I147" s="299"/>
      <c r="J147" s="299" t="s">
        <v>60</v>
      </c>
      <c r="K147" s="299" t="s">
        <v>59</v>
      </c>
      <c r="L147" s="299" t="s">
        <v>39</v>
      </c>
      <c r="M147" s="299" t="s">
        <v>40</v>
      </c>
      <c r="N147" s="299" t="s">
        <v>41</v>
      </c>
      <c r="O147" s="299" t="s">
        <v>42</v>
      </c>
      <c r="P147" s="299"/>
      <c r="Q147" s="300"/>
      <c r="R147" s="85"/>
      <c r="S147" s="85"/>
      <c r="T147" s="44"/>
      <c r="U147" s="44"/>
      <c r="V147" s="44"/>
      <c r="AI147" s="86"/>
      <c r="AJ147" s="86"/>
      <c r="AK147" s="86"/>
    </row>
    <row r="148" spans="1:37" s="33" customFormat="1" ht="24.75" customHeight="1">
      <c r="A148" s="445" t="str">
        <f>C13</f>
        <v>Rami Mondolin</v>
      </c>
      <c r="B148" s="446"/>
      <c r="C148" s="446"/>
      <c r="D148" s="294">
        <f>SUM(C56:C60,C96:C100)</f>
        <v>197</v>
      </c>
      <c r="E148" s="294">
        <f>SUM(C61,C101)</f>
        <v>7</v>
      </c>
      <c r="F148" s="294">
        <f>SUM(D61,D101)</f>
        <v>3</v>
      </c>
      <c r="G148" s="294">
        <f>SUM(D56:D60,D96:D100)</f>
        <v>388</v>
      </c>
      <c r="H148" s="447">
        <f>SUM(E56:E60,E96:E100)</f>
        <v>3119</v>
      </c>
      <c r="I148" s="447"/>
      <c r="J148" s="294">
        <f>SUM(H56,H96)</f>
        <v>1</v>
      </c>
      <c r="K148" s="294">
        <f>E148-F148</f>
        <v>4</v>
      </c>
      <c r="L148" s="294">
        <f>SUM(F56:F60,F96:F100)</f>
        <v>3</v>
      </c>
      <c r="M148" s="294">
        <f>SUM(G56:G60,G96:G100)</f>
        <v>0</v>
      </c>
      <c r="N148" s="295">
        <f>H148/D148</f>
        <v>15.83248730964467</v>
      </c>
      <c r="O148" s="448">
        <f>(L148+M148)/E148</f>
        <v>0.42857142857142855</v>
      </c>
      <c r="P148" s="448"/>
      <c r="Q148" s="448"/>
      <c r="R148" s="296"/>
      <c r="S148" s="296"/>
      <c r="T148" s="296"/>
      <c r="U148" s="296"/>
      <c r="V148" s="296"/>
      <c r="AI148" s="86"/>
      <c r="AJ148" s="86"/>
      <c r="AK148" s="86"/>
    </row>
    <row r="149" spans="1:37" s="33" customFormat="1" ht="24.75" customHeight="1">
      <c r="A149" s="445" t="str">
        <f>C14</f>
        <v>Jouni I. Kataja</v>
      </c>
      <c r="B149" s="446"/>
      <c r="C149" s="446"/>
      <c r="D149" s="294">
        <f>SUM(C66:C70,C106:C110)</f>
        <v>241</v>
      </c>
      <c r="E149" s="294">
        <f>SUM(C71,C111)</f>
        <v>8</v>
      </c>
      <c r="F149" s="294">
        <f>SUM(D71,D111)</f>
        <v>6</v>
      </c>
      <c r="G149" s="294">
        <f>SUM(D66:D70,D106:D110)</f>
        <v>495</v>
      </c>
      <c r="H149" s="447">
        <f>SUM(E66:E70,E106:E110)</f>
        <v>3513</v>
      </c>
      <c r="I149" s="447"/>
      <c r="J149" s="294">
        <f>SUM(H66,H106)</f>
        <v>0</v>
      </c>
      <c r="K149" s="294">
        <f aca="true" t="shared" si="4" ref="K149:K155">E149-F149</f>
        <v>2</v>
      </c>
      <c r="L149" s="294">
        <f>SUM(F66:F70,F106:F110)</f>
        <v>3</v>
      </c>
      <c r="M149" s="294">
        <f>SUM(G66:G70,G106:G110)</f>
        <v>0</v>
      </c>
      <c r="N149" s="295">
        <f aca="true" t="shared" si="5" ref="N149:N155">H149/D149</f>
        <v>14.576763485477178</v>
      </c>
      <c r="O149" s="448">
        <f aca="true" t="shared" si="6" ref="O149:O155">(L149+M149)/E149</f>
        <v>0.375</v>
      </c>
      <c r="P149" s="448"/>
      <c r="Q149" s="448"/>
      <c r="R149" s="296"/>
      <c r="S149" s="296"/>
      <c r="T149" s="296"/>
      <c r="U149" s="296"/>
      <c r="V149" s="296"/>
      <c r="AI149" s="86"/>
      <c r="AJ149" s="86"/>
      <c r="AK149" s="86"/>
    </row>
    <row r="150" spans="1:37" s="33" customFormat="1" ht="24.75" customHeight="1">
      <c r="A150" s="445" t="str">
        <f>C15</f>
        <v>Tomi Aaltonen</v>
      </c>
      <c r="B150" s="446"/>
      <c r="C150" s="446"/>
      <c r="D150" s="294">
        <f>SUM(C76:C80,C116:C120)</f>
        <v>213</v>
      </c>
      <c r="E150" s="294">
        <f>SUM(C81,C121)</f>
        <v>8</v>
      </c>
      <c r="F150" s="294">
        <f>SUM(D81,D121)</f>
        <v>6</v>
      </c>
      <c r="G150" s="294">
        <f>SUM(D76:D80,D116:D120)</f>
        <v>598</v>
      </c>
      <c r="H150" s="447">
        <f>SUM(E76:E80,E116:E120)</f>
        <v>3410</v>
      </c>
      <c r="I150" s="447"/>
      <c r="J150" s="294">
        <f>SUM(H76,H116)</f>
        <v>0</v>
      </c>
      <c r="K150" s="294">
        <f t="shared" si="4"/>
        <v>2</v>
      </c>
      <c r="L150" s="294">
        <f>SUM(F76:F80,F116:F120)</f>
        <v>13</v>
      </c>
      <c r="M150" s="294">
        <f>SUM(G76:G80,G116:G120)</f>
        <v>1</v>
      </c>
      <c r="N150" s="295">
        <f t="shared" si="5"/>
        <v>16.009389671361504</v>
      </c>
      <c r="O150" s="448">
        <f t="shared" si="6"/>
        <v>1.75</v>
      </c>
      <c r="P150" s="448"/>
      <c r="Q150" s="448"/>
      <c r="R150" s="296"/>
      <c r="S150" s="296"/>
      <c r="T150" s="296"/>
      <c r="U150" s="296"/>
      <c r="V150" s="296"/>
      <c r="AI150" s="86"/>
      <c r="AJ150" s="86"/>
      <c r="AK150" s="86"/>
    </row>
    <row r="151" spans="1:37" s="33" customFormat="1" ht="24.75" customHeight="1">
      <c r="A151" s="445" t="str">
        <f>C16</f>
        <v>Seppo Makkonen</v>
      </c>
      <c r="B151" s="446"/>
      <c r="C151" s="446"/>
      <c r="D151" s="294">
        <f>SUM(C86:C90,C126:C130)</f>
        <v>285</v>
      </c>
      <c r="E151" s="294">
        <f>SUM(C91,C131)</f>
        <v>10</v>
      </c>
      <c r="F151" s="294">
        <f>SUM(D91,D131)</f>
        <v>5</v>
      </c>
      <c r="G151" s="294">
        <f>SUM(D86:D90,D126:D130)</f>
        <v>346</v>
      </c>
      <c r="H151" s="447">
        <f>SUM(E86:E90,E126:E130)</f>
        <v>4664</v>
      </c>
      <c r="I151" s="447"/>
      <c r="J151" s="294">
        <f>SUM(H86,H126)</f>
        <v>1</v>
      </c>
      <c r="K151" s="294">
        <f t="shared" si="4"/>
        <v>5</v>
      </c>
      <c r="L151" s="294">
        <f>SUM(F86:F90,F126:F130)</f>
        <v>11</v>
      </c>
      <c r="M151" s="294">
        <f>SUM(G86:G90,G126:G130)</f>
        <v>0</v>
      </c>
      <c r="N151" s="295">
        <f t="shared" si="5"/>
        <v>16.364912280701756</v>
      </c>
      <c r="O151" s="448">
        <f t="shared" si="6"/>
        <v>1.1</v>
      </c>
      <c r="P151" s="448"/>
      <c r="Q151" s="448"/>
      <c r="R151" s="296"/>
      <c r="S151" s="296"/>
      <c r="T151" s="296"/>
      <c r="U151" s="296"/>
      <c r="V151" s="296"/>
      <c r="AI151" s="86"/>
      <c r="AJ151" s="86"/>
      <c r="AK151" s="86"/>
    </row>
    <row r="152" spans="1:37" s="33" customFormat="1" ht="24.75" customHeight="1">
      <c r="A152" s="445" t="str">
        <f>O13</f>
        <v>Tobias Lindholm</v>
      </c>
      <c r="B152" s="446"/>
      <c r="C152" s="446"/>
      <c r="D152" s="294">
        <f>IF($M$6="x",SUM(L56:L60,L116:L120),SUM(L66:L70,L96:L100))</f>
        <v>186</v>
      </c>
      <c r="E152" s="294">
        <f>IF($M$6="x",SUM(L61,L121),SUM(L71,L101))</f>
        <v>7</v>
      </c>
      <c r="F152" s="294">
        <f>IF($M$6="x",SUM(M61,M121),SUM(M71,M101))</f>
        <v>1</v>
      </c>
      <c r="G152" s="294">
        <f>IF($M$6="x",SUM(M56:M60,M116:M120),SUM(M66:M70,M96:M100))</f>
        <v>16</v>
      </c>
      <c r="H152" s="447">
        <f>IF($M$6="x",SUM(N56:N60,N116:N120),SUM(N66:N70,N96:N100))</f>
        <v>3491</v>
      </c>
      <c r="I152" s="447"/>
      <c r="J152" s="294">
        <f>IF($M$6="x",SUM(U56,U116),SUM(U66,U96))</f>
        <v>2</v>
      </c>
      <c r="K152" s="294">
        <f t="shared" si="4"/>
        <v>6</v>
      </c>
      <c r="L152" s="294">
        <f>IF($M$6="x",SUM(O56:Q60,O116:Q120),SUM(O66:Q70,O96:Q100))</f>
        <v>8</v>
      </c>
      <c r="M152" s="294">
        <f>IF($M$6="x",SUM(R56:R60,R116:R120),SUM(R66:R70,R96:R100))</f>
        <v>0</v>
      </c>
      <c r="N152" s="295">
        <f t="shared" si="5"/>
        <v>18.768817204301076</v>
      </c>
      <c r="O152" s="448">
        <f t="shared" si="6"/>
        <v>1.1428571428571428</v>
      </c>
      <c r="P152" s="448"/>
      <c r="Q152" s="448"/>
      <c r="R152" s="296"/>
      <c r="S152" s="296"/>
      <c r="T152" s="296"/>
      <c r="U152" s="296"/>
      <c r="V152" s="296"/>
      <c r="AI152" s="86"/>
      <c r="AJ152" s="86"/>
      <c r="AK152" s="86"/>
    </row>
    <row r="153" spans="1:37" s="33" customFormat="1" ht="24.75" customHeight="1">
      <c r="A153" s="445" t="str">
        <f>O14</f>
        <v>Björn Huldin</v>
      </c>
      <c r="B153" s="446"/>
      <c r="C153" s="446"/>
      <c r="D153" s="294">
        <f>IF($M$6="x",SUM(L66:L70,L96:L100),SUM(L56:L60,L106:L110))</f>
        <v>255</v>
      </c>
      <c r="E153" s="294">
        <f>IF($M$6="x",SUM(L71,L101),SUM(L61,L111))</f>
        <v>8</v>
      </c>
      <c r="F153" s="294">
        <f>IF($M$6="x",SUM(M71,M101),SUM(M61,M111))</f>
        <v>5</v>
      </c>
      <c r="G153" s="294">
        <f>IF($M$6="x",SUM(M66:M70,M96:M100),SUM(M56:M60,M106:M110))</f>
        <v>213</v>
      </c>
      <c r="H153" s="447">
        <f>IF($M$6="x",SUM(N66:N70,N96:N100),SUM(N56:N60,N106:N110))</f>
        <v>3795</v>
      </c>
      <c r="I153" s="447"/>
      <c r="J153" s="294">
        <f>IF($M$6="x",SUM(U66,U96),SUM(U56,U106))</f>
        <v>1</v>
      </c>
      <c r="K153" s="294">
        <f t="shared" si="4"/>
        <v>3</v>
      </c>
      <c r="L153" s="294">
        <f>IF($M$6="x",SUM(O66:Q70,O96:Q100),SUM(O56:Q60,O106:Q110))</f>
        <v>6</v>
      </c>
      <c r="M153" s="294">
        <f>IF($M$6="x",SUM(R66:R70,R96:R100),SUM(R56:R60,R106:R110))</f>
        <v>0</v>
      </c>
      <c r="N153" s="295">
        <f t="shared" si="5"/>
        <v>14.882352941176471</v>
      </c>
      <c r="O153" s="448">
        <f t="shared" si="6"/>
        <v>0.75</v>
      </c>
      <c r="P153" s="448"/>
      <c r="Q153" s="448"/>
      <c r="R153" s="296"/>
      <c r="S153" s="296"/>
      <c r="T153" s="296"/>
      <c r="U153" s="296"/>
      <c r="V153" s="296"/>
      <c r="AI153" s="86"/>
      <c r="AJ153" s="86"/>
      <c r="AK153" s="86"/>
    </row>
    <row r="154" spans="1:37" s="33" customFormat="1" ht="24.75" customHeight="1">
      <c r="A154" s="445" t="str">
        <f>O15</f>
        <v>Sakari Kinnunen</v>
      </c>
      <c r="B154" s="446"/>
      <c r="C154" s="446"/>
      <c r="D154" s="294">
        <f>IF($M$6="x",SUM(L76:L80,L106:L110),SUM(L86:L90,L116:L120))</f>
        <v>194</v>
      </c>
      <c r="E154" s="294">
        <f>IF($M$6="x",SUM(L81,L111),SUM(L91,L121))</f>
        <v>8</v>
      </c>
      <c r="F154" s="294">
        <f>IF($M$6="x",SUM(M81,M111),SUM(M91,M121))</f>
        <v>2</v>
      </c>
      <c r="G154" s="294">
        <f>IF($M$6="x",SUM(M76:M80,M106:M110),SUM(M86:M90,M116:M120))</f>
        <v>30</v>
      </c>
      <c r="H154" s="447">
        <f>IF($M$6="x",SUM(N76:N80,N106:N110),SUM(N86:N90,N116:N120))</f>
        <v>3978</v>
      </c>
      <c r="I154" s="447"/>
      <c r="J154" s="294">
        <f>IF($M$6="x",SUM(U76,U106),SUM(U86,U116))</f>
        <v>2</v>
      </c>
      <c r="K154" s="294">
        <f t="shared" si="4"/>
        <v>6</v>
      </c>
      <c r="L154" s="294">
        <f>IF($M$6="x",SUM(O76:Q80,O106:Q110),SUM(O86:Q90,O116:Q120))</f>
        <v>9</v>
      </c>
      <c r="M154" s="294">
        <f>IF($M$6="x",SUM(R76:R80,R106:R110),SUM(R86:R90,R116:R120))</f>
        <v>1</v>
      </c>
      <c r="N154" s="295">
        <f t="shared" si="5"/>
        <v>20.50515463917526</v>
      </c>
      <c r="O154" s="448">
        <f t="shared" si="6"/>
        <v>1.25</v>
      </c>
      <c r="P154" s="448"/>
      <c r="Q154" s="448"/>
      <c r="R154" s="296"/>
      <c r="S154" s="296"/>
      <c r="T154" s="296"/>
      <c r="U154" s="296"/>
      <c r="V154" s="296"/>
      <c r="Y154" s="44"/>
      <c r="Z154" s="44"/>
      <c r="AA154" s="44"/>
      <c r="AB154" s="44"/>
      <c r="AC154" s="44"/>
      <c r="AD154" s="44"/>
      <c r="AE154" s="44"/>
      <c r="AF154" s="44"/>
      <c r="AG154" s="44"/>
      <c r="AI154" s="86"/>
      <c r="AJ154" s="86"/>
      <c r="AK154" s="86"/>
    </row>
    <row r="155" spans="1:37" s="33" customFormat="1" ht="24.75" customHeight="1">
      <c r="A155" s="445" t="str">
        <f>O16</f>
        <v>Mikael Nyholm</v>
      </c>
      <c r="B155" s="446"/>
      <c r="C155" s="446"/>
      <c r="D155" s="294">
        <f>IF($M$6="x",SUM(L86:L90,L126:L130),SUM(L76:L80,L126:L130))</f>
        <v>301</v>
      </c>
      <c r="E155" s="294">
        <f>IF($M$6="x",SUM(L91,L131),SUM(L81,L131))</f>
        <v>10</v>
      </c>
      <c r="F155" s="294">
        <f>IF($M$6="x",SUM(M91,M131),SUM(M81,M131))</f>
        <v>5</v>
      </c>
      <c r="G155" s="294">
        <f>IF($M$6="x",SUM(M86:M90,M126:M130),SUM(M76:M80,M126:M130))</f>
        <v>471</v>
      </c>
      <c r="H155" s="447">
        <f>IF($M$6="x",SUM(N86:N90,N126:N130),SUM(N76:N80,N126:N130))</f>
        <v>4539</v>
      </c>
      <c r="I155" s="447"/>
      <c r="J155" s="294">
        <f>IF($M$6="x",SUM(U86,U126),SUM(U76,U126))</f>
        <v>1</v>
      </c>
      <c r="K155" s="294">
        <f t="shared" si="4"/>
        <v>5</v>
      </c>
      <c r="L155" s="294">
        <f>IF($M$6="x",SUM(O86:Q90,O126:Q130),SUM(O76:Q80,O126:Q130))</f>
        <v>5</v>
      </c>
      <c r="M155" s="294">
        <f>IF($M$6="x",SUM(R86:R90,R126:R130),SUM(R76:R80,R126:R130))</f>
        <v>0</v>
      </c>
      <c r="N155" s="295">
        <f t="shared" si="5"/>
        <v>15.079734219269103</v>
      </c>
      <c r="O155" s="448">
        <f t="shared" si="6"/>
        <v>0.5</v>
      </c>
      <c r="P155" s="448"/>
      <c r="Q155" s="448"/>
      <c r="R155" s="296"/>
      <c r="S155" s="296"/>
      <c r="T155" s="296"/>
      <c r="U155" s="296"/>
      <c r="V155" s="296"/>
      <c r="W155" s="1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85"/>
      <c r="B156" s="85"/>
      <c r="C156" s="85"/>
      <c r="D156" s="106"/>
      <c r="E156" s="85"/>
      <c r="F156" s="85"/>
      <c r="G156" s="85"/>
      <c r="H156" s="85"/>
      <c r="I156" s="111"/>
      <c r="J156" s="111"/>
      <c r="K156" s="111"/>
      <c r="L156" s="111"/>
      <c r="M156" s="111"/>
      <c r="N156" s="85"/>
      <c r="O156" s="85"/>
      <c r="P156" s="85"/>
      <c r="Q156" s="85"/>
      <c r="R156" s="85"/>
      <c r="S156" s="85"/>
      <c r="T156" s="85"/>
      <c r="U156" s="85"/>
      <c r="V156" s="251"/>
      <c r="W156" s="1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85"/>
      <c r="B157" s="85"/>
      <c r="C157" s="85"/>
      <c r="D157" s="85"/>
      <c r="E157" s="85"/>
      <c r="F157" s="85"/>
      <c r="G157" s="85"/>
      <c r="H157" s="85"/>
      <c r="I157" s="111"/>
      <c r="J157" s="111"/>
      <c r="K157" s="111"/>
      <c r="L157" s="111"/>
      <c r="M157" s="111"/>
      <c r="N157" s="85"/>
      <c r="O157" s="85"/>
      <c r="P157" s="85"/>
      <c r="Q157" s="85"/>
      <c r="R157" s="85"/>
      <c r="S157" s="85"/>
      <c r="T157" s="85"/>
      <c r="U157" s="85"/>
      <c r="V157" s="251"/>
      <c r="W157" s="107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85"/>
      <c r="B158" s="85"/>
      <c r="C158" s="85"/>
      <c r="D158" s="85"/>
      <c r="E158" s="85"/>
      <c r="F158" s="85"/>
      <c r="G158" s="85"/>
      <c r="H158" s="85"/>
      <c r="I158" s="111"/>
      <c r="J158" s="111"/>
      <c r="K158" s="111"/>
      <c r="L158" s="111"/>
      <c r="M158" s="111"/>
      <c r="N158" s="85"/>
      <c r="O158" s="85"/>
      <c r="P158" s="85"/>
      <c r="Q158" s="85"/>
      <c r="R158" s="85"/>
      <c r="S158" s="85"/>
      <c r="T158" s="85"/>
      <c r="U158" s="85"/>
      <c r="V158" s="251"/>
      <c r="W158" s="107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51"/>
      <c r="B159" s="251"/>
      <c r="C159" s="251"/>
      <c r="D159" s="251"/>
      <c r="E159" s="251"/>
      <c r="F159" s="251"/>
      <c r="G159" s="251"/>
      <c r="H159" s="251"/>
      <c r="I159" s="253"/>
      <c r="J159" s="253"/>
      <c r="K159" s="253"/>
      <c r="L159" s="253"/>
      <c r="M159" s="253"/>
      <c r="N159" s="251"/>
      <c r="O159" s="251"/>
      <c r="P159" s="251"/>
      <c r="Q159" s="251"/>
      <c r="R159" s="251"/>
      <c r="S159" s="251"/>
      <c r="T159" s="251"/>
      <c r="U159" s="251"/>
      <c r="V159" s="251"/>
      <c r="W159" s="107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251"/>
      <c r="B160" s="107"/>
      <c r="C160" s="107"/>
      <c r="D160" s="107"/>
      <c r="E160" s="107"/>
      <c r="F160" s="107"/>
      <c r="G160" s="107"/>
      <c r="H160" s="107"/>
      <c r="I160" s="252"/>
      <c r="J160" s="252"/>
      <c r="K160" s="252"/>
      <c r="L160" s="252"/>
      <c r="M160" s="252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251"/>
      <c r="B161" s="107"/>
      <c r="C161" s="107"/>
      <c r="D161" s="107"/>
      <c r="E161" s="107"/>
      <c r="F161" s="107"/>
      <c r="G161" s="107"/>
      <c r="H161" s="107"/>
      <c r="I161" s="252"/>
      <c r="J161" s="252"/>
      <c r="K161" s="252"/>
      <c r="L161" s="252"/>
      <c r="M161" s="25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251"/>
      <c r="B162" s="107"/>
      <c r="C162" s="107"/>
      <c r="D162" s="107"/>
      <c r="E162" s="107"/>
      <c r="F162" s="107"/>
      <c r="G162" s="107"/>
      <c r="H162" s="107"/>
      <c r="I162" s="252"/>
      <c r="J162" s="252"/>
      <c r="K162" s="252"/>
      <c r="L162" s="252"/>
      <c r="M162" s="252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251"/>
      <c r="B163" s="107"/>
      <c r="C163" s="107"/>
      <c r="D163" s="107"/>
      <c r="E163" s="107"/>
      <c r="F163" s="107"/>
      <c r="G163" s="107"/>
      <c r="H163" s="107"/>
      <c r="I163" s="252"/>
      <c r="J163" s="252"/>
      <c r="K163" s="252"/>
      <c r="L163" s="252"/>
      <c r="M163" s="252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251"/>
      <c r="B164" s="107"/>
      <c r="C164" s="107"/>
      <c r="D164" s="107"/>
      <c r="E164" s="107"/>
      <c r="F164" s="107"/>
      <c r="G164" s="107"/>
      <c r="H164" s="107"/>
      <c r="I164" s="252"/>
      <c r="J164" s="252"/>
      <c r="K164" s="252"/>
      <c r="L164" s="252"/>
      <c r="M164" s="252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23" s="86" customFormat="1" ht="15">
      <c r="A165" s="251"/>
      <c r="B165" s="107"/>
      <c r="C165" s="107"/>
      <c r="D165" s="107"/>
      <c r="E165" s="107"/>
      <c r="F165" s="107"/>
      <c r="G165" s="107"/>
      <c r="H165" s="107"/>
      <c r="I165" s="252"/>
      <c r="J165" s="252"/>
      <c r="K165" s="252"/>
      <c r="L165" s="252"/>
      <c r="M165" s="252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8">
    <mergeCell ref="O143:Q143"/>
    <mergeCell ref="O138:P138"/>
    <mergeCell ref="O139:Q139"/>
    <mergeCell ref="A140:A142"/>
    <mergeCell ref="O140:Q140"/>
    <mergeCell ref="O141:Q141"/>
    <mergeCell ref="O142:Q142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A153:C153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W31:Z31"/>
    <mergeCell ref="AB31:AE31"/>
    <mergeCell ref="B34:AG34"/>
    <mergeCell ref="B35:AG35"/>
    <mergeCell ref="B36:AG36"/>
    <mergeCell ref="B40:M41"/>
    <mergeCell ref="O40:AG41"/>
    <mergeCell ref="C26:H26"/>
    <mergeCell ref="J26:O26"/>
    <mergeCell ref="C27:H27"/>
    <mergeCell ref="J27:O27"/>
    <mergeCell ref="O28:P28"/>
    <mergeCell ref="B31:I31"/>
    <mergeCell ref="K31:U31"/>
    <mergeCell ref="C23:H23"/>
    <mergeCell ref="J23:O23"/>
    <mergeCell ref="C24:H24"/>
    <mergeCell ref="J24:O24"/>
    <mergeCell ref="C25:H25"/>
    <mergeCell ref="J25:O25"/>
    <mergeCell ref="C20:H20"/>
    <mergeCell ref="J20:O20"/>
    <mergeCell ref="C21:H21"/>
    <mergeCell ref="J21:O21"/>
    <mergeCell ref="C22:H22"/>
    <mergeCell ref="J22:O22"/>
    <mergeCell ref="AF16:AG16"/>
    <mergeCell ref="AB18:AG18"/>
    <mergeCell ref="C19:H19"/>
    <mergeCell ref="J19:O19"/>
    <mergeCell ref="C16:L16"/>
    <mergeCell ref="O16:AE16"/>
    <mergeCell ref="AF14:AG14"/>
    <mergeCell ref="AF15:AG15"/>
    <mergeCell ref="C14:L14"/>
    <mergeCell ref="C15:L15"/>
    <mergeCell ref="O14:AE14"/>
    <mergeCell ref="O15:AE15"/>
    <mergeCell ref="Y8:AB8"/>
    <mergeCell ref="B9:M9"/>
    <mergeCell ref="O9:AF9"/>
    <mergeCell ref="M11:M12"/>
    <mergeCell ref="AF11:AG12"/>
    <mergeCell ref="AF13:AG13"/>
    <mergeCell ref="C13:L13"/>
    <mergeCell ref="O13:AE13"/>
    <mergeCell ref="O4:P4"/>
    <mergeCell ref="R5:T5"/>
    <mergeCell ref="U5:V5"/>
    <mergeCell ref="R6:T6"/>
    <mergeCell ref="U6:V6"/>
    <mergeCell ref="F8:M8"/>
    <mergeCell ref="S8:T8"/>
    <mergeCell ref="V8:W8"/>
  </mergeCells>
  <conditionalFormatting sqref="A16:AG16 A83:A91 C83:S91 B83:B90 B81 A123:A131 C123:S131 B123:B130 A121 A22:P22 S22 U22:AG22 A26:P26 U26:AG26 S26 M101">
    <cfRule type="expression" priority="80" dxfId="1" stopIfTrue="1">
      <formula>$M$6="x"</formula>
    </cfRule>
  </conditionalFormatting>
  <conditionalFormatting sqref="R19 T19">
    <cfRule type="expression" priority="27" dxfId="0" stopIfTrue="1">
      <formula>SUM($V$19:$Z$19,$AB$19:$AF$19)=0</formula>
    </cfRule>
  </conditionalFormatting>
  <conditionalFormatting sqref="R20 T20">
    <cfRule type="expression" priority="26" dxfId="0" stopIfTrue="1">
      <formula>SUM($V$20:$Z$20,$AB$20:$AF$20)=0</formula>
    </cfRule>
  </conditionalFormatting>
  <conditionalFormatting sqref="R21 T21">
    <cfRule type="expression" priority="25" dxfId="0" stopIfTrue="1">
      <formula>SUM($V$21:$Z$21,$AB$21:$AF$21)=0</formula>
    </cfRule>
  </conditionalFormatting>
  <conditionalFormatting sqref="R22 T22">
    <cfRule type="expression" priority="24" dxfId="0" stopIfTrue="1">
      <formula>SUM($V$22:$Z$22,$AB$22:$AF$22)=0</formula>
    </cfRule>
  </conditionalFormatting>
  <conditionalFormatting sqref="R23 T23">
    <cfRule type="expression" priority="23" dxfId="0" stopIfTrue="1">
      <formula>SUM($V$23:$Z$23,$AB$23:$AF$23)=0</formula>
    </cfRule>
  </conditionalFormatting>
  <conditionalFormatting sqref="R24 T24">
    <cfRule type="expression" priority="22" dxfId="0" stopIfTrue="1">
      <formula>SUM($V$24:$Z$24,$AB$24:$AF$24)=0</formula>
    </cfRule>
  </conditionalFormatting>
  <conditionalFormatting sqref="R25 T25">
    <cfRule type="expression" priority="21" dxfId="0" stopIfTrue="1">
      <formula>SUM($V$25:$Z$25,$AB$25:$AF$25)=0</formula>
    </cfRule>
  </conditionalFormatting>
  <conditionalFormatting sqref="R26 T26">
    <cfRule type="expression" priority="20" dxfId="0" stopIfTrue="1">
      <formula>SUM($V$26:$Z$26,$AB$26:$AF$26)=0</formula>
    </cfRule>
  </conditionalFormatting>
  <conditionalFormatting sqref="R28 T28 W31:Z31 AB31:AE31">
    <cfRule type="expression" priority="19" dxfId="0" stopIfTrue="1">
      <formula>SUM($R$19:$R$26,$T$19:$T$26)=0</formula>
    </cfRule>
  </conditionalFormatting>
  <conditionalFormatting sqref="A27:P27 S27 U27:AH27 A136:S144">
    <cfRule type="expression" priority="5" dxfId="1" stopIfTrue="1">
      <formula>$G$4&lt;&gt;"x"</formula>
    </cfRule>
  </conditionalFormatting>
  <conditionalFormatting sqref="R27 T27">
    <cfRule type="expression" priority="4" dxfId="0" stopIfTrue="1">
      <formula>SUM($V$27:$Z$27,$AB$27:$AF$27)=0</formula>
    </cfRule>
  </conditionalFormatting>
  <dataValidations count="12">
    <dataValidation type="whole" allowBlank="1" showErrorMessage="1" errorTitle="Väärä arvo" error="Minimiarvo 9" sqref="L139:L143 C139:C143">
      <formula1>9</formula1>
      <formula2>150</formula2>
    </dataValidation>
    <dataValidation type="whole" allowBlank="1" showErrorMessage="1" errorTitle="Väärä arvo" error="Minimiarvo on 1 tai jätä tyhjäksi!" sqref="O139:R143 F139:G143">
      <formula1>1</formula1>
      <formula2>100</formula2>
    </dataValidation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B8 C56:C60 C126:C130 L116:L120 C116:C120 L106:L110 C106:C110 L96:L100 C96:C100 L86:L90 C86:C90 L76:L80 C76:C80 L66:L70 C66:C70 L56:L60">
      <formula1>6</formula1>
      <formula2>200</formula2>
    </dataValidation>
    <dataValidation type="whole" allowBlank="1" showErrorMessage="1" errorTitle="Väärä arvo" error="anna arvo välillä 1-10 tai jätä tyhjäksi!" sqref="G56:G60 G126:G130 R116:R120 G116:G120 R106:R110 G106:G110 R96:R100 G96:G100 R86:R90 G86:G90 R76:R80 G76:G80 R66:R70 G66:G70 R56:R60 R126:R130">
      <formula1>1</formula1>
      <formula2>10</formula2>
    </dataValidation>
    <dataValidation type="list" allowBlank="1" showInputMessage="1" showErrorMessage="1" sqref="C13:L16">
      <formula1>$AO$10:$AO$17</formula1>
    </dataValidation>
    <dataValidation type="list" allowBlank="1" showInputMessage="1" showErrorMessage="1" sqref="O13:AE16">
      <formula1>$AR$10:$AR$17</formula1>
    </dataValidation>
    <dataValidation allowBlank="1" showInputMessage="1" sqref="D56:D60 F56:F60 M56:M60 O56:Q60 D66:D70 F66:F70 M66:M70 O66:Q70 D76:D80 F76:F80 M76:N81 O76:Q80 D86:D90 F86:F90 M86:M90 O86:Q90 D96:D100 F96:F100 M96:M100 O96:Q100 D106:D110 F106:F110 M106:M110 O106:Q110 D116:D120 F116:F120 M116:M120 O116:Q120 D126:D130 F126:F130 L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3'!L" tooltip="SYÖTÄ LISÄOTTELUN TIETOJA" display="L"/>
  </hyperlinks>
  <printOptions horizontalCentered="1" verticalCentered="1"/>
  <pageMargins left="0.1968503937007874" right="0.1968503937007874" top="0.35433070866141736" bottom="0.5511811023622047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4"/>
  <sheetViews>
    <sheetView showGridLines="0" zoomScale="85" zoomScaleNormal="85" zoomScalePageLayoutView="0" workbookViewId="0" topLeftCell="A1">
      <selection activeCell="A9" sqref="A9"/>
    </sheetView>
  </sheetViews>
  <sheetFormatPr defaultColWidth="9.7109375" defaultRowHeight="12.75"/>
  <cols>
    <col min="1" max="1" width="18.28125" style="46" customWidth="1"/>
    <col min="2" max="2" width="17.8515625" style="49" customWidth="1"/>
    <col min="3" max="3" width="4.8515625" style="52" customWidth="1"/>
    <col min="4" max="4" width="9.140625" style="45" customWidth="1"/>
    <col min="5" max="5" width="5.8515625" style="45" customWidth="1"/>
    <col min="6" max="6" width="4.8515625" style="45" customWidth="1"/>
    <col min="7" max="7" width="6.421875" style="45" customWidth="1"/>
    <col min="8" max="8" width="8.421875" style="45" customWidth="1"/>
    <col min="9" max="9" width="2.140625" style="45" bestFit="1" customWidth="1"/>
    <col min="10" max="10" width="5.421875" style="45" customWidth="1"/>
    <col min="11" max="11" width="6.57421875" style="45" customWidth="1"/>
    <col min="12" max="12" width="5.28125" style="45" customWidth="1"/>
    <col min="13" max="13" width="6.00390625" style="45" customWidth="1"/>
    <col min="14" max="14" width="10.8515625" style="45" customWidth="1"/>
    <col min="15" max="15" width="12.28125" style="47" customWidth="1"/>
    <col min="16" max="16" width="10.7109375" style="47" customWidth="1"/>
    <col min="17" max="16384" width="9.7109375" style="1" customWidth="1"/>
  </cols>
  <sheetData>
    <row r="1" spans="1:16" s="53" customFormat="1" ht="12.75">
      <c r="A1" s="309"/>
      <c r="B1" s="309"/>
      <c r="C1" s="31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53" customFormat="1" ht="12.75">
      <c r="A2" s="309"/>
      <c r="B2" s="309"/>
      <c r="C2" s="31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3" customFormat="1" ht="12.75">
      <c r="A3" s="309" t="s">
        <v>47</v>
      </c>
      <c r="B3" s="311" t="str">
        <f>tilasto!A9</f>
        <v>Grönan DC 2</v>
      </c>
      <c r="C3" s="31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3" customFormat="1" ht="12.75">
      <c r="A4" s="309" t="s">
        <v>48</v>
      </c>
      <c r="B4" s="311" t="str">
        <f>tilasto!A22</f>
        <v>Kukon Tikka 3</v>
      </c>
      <c r="C4" s="31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3" customFormat="1" ht="12.75">
      <c r="A5" s="309" t="s">
        <v>49</v>
      </c>
      <c r="B5" s="311" t="str">
        <f>tilasto!A35</f>
        <v>Satatikka 2</v>
      </c>
      <c r="C5" s="31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53" customFormat="1" ht="12.75">
      <c r="A6" s="51"/>
      <c r="B6" s="51"/>
      <c r="C6" s="5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53" customFormat="1" ht="12.75">
      <c r="A7" s="50"/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5" s="53" customFormat="1" ht="89.25" customHeight="1">
      <c r="A8" s="56" t="s">
        <v>7</v>
      </c>
      <c r="B8" s="57" t="s">
        <v>44</v>
      </c>
      <c r="C8" s="182" t="s">
        <v>62</v>
      </c>
      <c r="D8" s="150" t="s">
        <v>27</v>
      </c>
      <c r="E8" s="150" t="s">
        <v>61</v>
      </c>
      <c r="F8" s="150" t="s">
        <v>58</v>
      </c>
      <c r="G8" s="150" t="s">
        <v>28</v>
      </c>
      <c r="H8" s="150" t="s">
        <v>8</v>
      </c>
      <c r="I8" s="150"/>
      <c r="J8" s="150" t="s">
        <v>60</v>
      </c>
      <c r="K8" s="150" t="s">
        <v>59</v>
      </c>
      <c r="L8" s="150" t="s">
        <v>63</v>
      </c>
      <c r="M8" s="150" t="s">
        <v>64</v>
      </c>
      <c r="N8" s="150" t="s">
        <v>41</v>
      </c>
      <c r="O8" s="150" t="s">
        <v>42</v>
      </c>
    </row>
    <row r="9" spans="1:17" s="53" customFormat="1" ht="12.75">
      <c r="A9" s="183" t="str">
        <f>IF('Ottelu 1'!A148=0,0,'Ottelu 1'!A148)</f>
        <v>Tobias Lindholm</v>
      </c>
      <c r="B9" s="184" t="str">
        <f aca="true" t="shared" si="0" ref="B9:B16">$B$3</f>
        <v>Grönan DC 2</v>
      </c>
      <c r="C9" s="185">
        <f>IF(A9=0,0,1)</f>
        <v>1</v>
      </c>
      <c r="D9" s="186">
        <f>'Ottelu 1'!D148</f>
        <v>230</v>
      </c>
      <c r="E9" s="186">
        <f>'Ottelu 1'!E148</f>
        <v>9</v>
      </c>
      <c r="F9" s="186">
        <f>'Ottelu 1'!F148</f>
        <v>3</v>
      </c>
      <c r="G9" s="186">
        <f>'Ottelu 1'!G148</f>
        <v>61</v>
      </c>
      <c r="H9" s="186">
        <f>'Ottelu 1'!H148</f>
        <v>4448</v>
      </c>
      <c r="I9" s="186"/>
      <c r="J9" s="186">
        <f>'Ottelu 1'!J148</f>
        <v>2</v>
      </c>
      <c r="K9" s="186">
        <f>'Ottelu 1'!K148</f>
        <v>6</v>
      </c>
      <c r="L9" s="186">
        <f>'Ottelu 1'!L148</f>
        <v>10</v>
      </c>
      <c r="M9" s="186">
        <f>'Ottelu 1'!M148</f>
        <v>0</v>
      </c>
      <c r="N9" s="187">
        <f>'Ottelu 1'!N148</f>
        <v>19.339130434782607</v>
      </c>
      <c r="O9" s="188">
        <f>'Ottelu 1'!O148</f>
        <v>1.1111111111111112</v>
      </c>
      <c r="P9" s="148"/>
      <c r="Q9" s="148"/>
    </row>
    <row r="10" spans="1:17" s="53" customFormat="1" ht="12.75">
      <c r="A10" s="189" t="str">
        <f>IF('Ottelu 1'!A149=0,0,'Ottelu 1'!A149)</f>
        <v>Tony Nyholm</v>
      </c>
      <c r="B10" s="152" t="str">
        <f t="shared" si="0"/>
        <v>Grönan DC 2</v>
      </c>
      <c r="C10" s="177">
        <f>IF(A10=0,0,1)</f>
        <v>1</v>
      </c>
      <c r="D10" s="190">
        <f>'Ottelu 1'!D149</f>
        <v>220</v>
      </c>
      <c r="E10" s="190">
        <f>'Ottelu 1'!E149</f>
        <v>8</v>
      </c>
      <c r="F10" s="190">
        <f>'Ottelu 1'!F149</f>
        <v>6</v>
      </c>
      <c r="G10" s="190">
        <f>'Ottelu 1'!G149</f>
        <v>426</v>
      </c>
      <c r="H10" s="190">
        <f>'Ottelu 1'!H149</f>
        <v>3582</v>
      </c>
      <c r="I10" s="190"/>
      <c r="J10" s="190">
        <f>'Ottelu 1'!J149</f>
        <v>0</v>
      </c>
      <c r="K10" s="190">
        <f>'Ottelu 1'!K149</f>
        <v>2</v>
      </c>
      <c r="L10" s="190">
        <f>'Ottelu 1'!L149</f>
        <v>5</v>
      </c>
      <c r="M10" s="190">
        <f>'Ottelu 1'!M149</f>
        <v>0</v>
      </c>
      <c r="N10" s="191">
        <f>'Ottelu 1'!N149</f>
        <v>16.28181818181818</v>
      </c>
      <c r="O10" s="192">
        <f>'Ottelu 1'!O149</f>
        <v>0.625</v>
      </c>
      <c r="P10" s="148"/>
      <c r="Q10" s="148"/>
    </row>
    <row r="11" spans="1:17" s="53" customFormat="1" ht="12.75">
      <c r="A11" s="189" t="str">
        <f>IF('Ottelu 1'!A150=0,0,'Ottelu 1'!A150)</f>
        <v>Sakari Kinnunen</v>
      </c>
      <c r="B11" s="152" t="str">
        <f t="shared" si="0"/>
        <v>Grönan DC 2</v>
      </c>
      <c r="C11" s="177">
        <f>IF(A11=0,0,1)</f>
        <v>1</v>
      </c>
      <c r="D11" s="190">
        <f>'Ottelu 1'!D150</f>
        <v>168</v>
      </c>
      <c r="E11" s="190">
        <f>'Ottelu 1'!E150</f>
        <v>7</v>
      </c>
      <c r="F11" s="190">
        <f>'Ottelu 1'!F150</f>
        <v>1</v>
      </c>
      <c r="G11" s="190">
        <f>'Ottelu 1'!G150</f>
        <v>66</v>
      </c>
      <c r="H11" s="190">
        <f>'Ottelu 1'!H150</f>
        <v>3441</v>
      </c>
      <c r="I11" s="190"/>
      <c r="J11" s="190">
        <f>'Ottelu 1'!J150</f>
        <v>2</v>
      </c>
      <c r="K11" s="190">
        <f>'Ottelu 1'!K150</f>
        <v>6</v>
      </c>
      <c r="L11" s="190">
        <f>'Ottelu 1'!L150</f>
        <v>8</v>
      </c>
      <c r="M11" s="190">
        <f>'Ottelu 1'!M150</f>
        <v>0</v>
      </c>
      <c r="N11" s="191">
        <f>'Ottelu 1'!N150</f>
        <v>20.482142857142858</v>
      </c>
      <c r="O11" s="192">
        <f>'Ottelu 1'!O150</f>
        <v>1.1428571428571428</v>
      </c>
      <c r="P11" s="148"/>
      <c r="Q11" s="148"/>
    </row>
    <row r="12" spans="1:17" s="53" customFormat="1" ht="12.75">
      <c r="A12" s="193" t="str">
        <f>IF('Ottelu 1'!A151=0,0,'Ottelu 1'!A151)</f>
        <v>Mikael Nyholm</v>
      </c>
      <c r="B12" s="146" t="str">
        <f t="shared" si="0"/>
        <v>Grönan DC 2</v>
      </c>
      <c r="C12" s="173">
        <f>IF(A12=0,0,1)</f>
        <v>1</v>
      </c>
      <c r="D12" s="149">
        <f>'Ottelu 1'!D151</f>
        <v>333</v>
      </c>
      <c r="E12" s="149">
        <f>'Ottelu 1'!E151</f>
        <v>10</v>
      </c>
      <c r="F12" s="149">
        <f>'Ottelu 1'!F151</f>
        <v>6</v>
      </c>
      <c r="G12" s="149">
        <f>'Ottelu 1'!G151</f>
        <v>108</v>
      </c>
      <c r="H12" s="149">
        <f>'Ottelu 1'!H151</f>
        <v>4902</v>
      </c>
      <c r="I12" s="149"/>
      <c r="J12" s="149">
        <f>'Ottelu 1'!J151</f>
        <v>0</v>
      </c>
      <c r="K12" s="149">
        <f>'Ottelu 1'!K151</f>
        <v>4</v>
      </c>
      <c r="L12" s="149">
        <f>'Ottelu 1'!L151</f>
        <v>8</v>
      </c>
      <c r="M12" s="149">
        <f>'Ottelu 1'!M151</f>
        <v>0</v>
      </c>
      <c r="N12" s="174">
        <f>'Ottelu 1'!N151</f>
        <v>14.72072072072072</v>
      </c>
      <c r="O12" s="194">
        <f>'Ottelu 1'!O151</f>
        <v>0.8</v>
      </c>
      <c r="P12" s="148"/>
      <c r="Q12" s="148"/>
    </row>
    <row r="13" spans="1:17" s="53" customFormat="1" ht="12.75">
      <c r="A13" s="189" t="str">
        <f>IF('Ottelu 3'!A152=0,0,'Ottelu 3'!A152)</f>
        <v>Tobias Lindholm</v>
      </c>
      <c r="B13" s="152" t="str">
        <f t="shared" si="0"/>
        <v>Grönan DC 2</v>
      </c>
      <c r="C13" s="177">
        <f>IF(OR(A13=$A$9,A13=$A$10,A13=$A$11,A13=$A$12),0,1)</f>
        <v>0</v>
      </c>
      <c r="D13" s="190">
        <f>'Ottelu 3'!D152</f>
        <v>186</v>
      </c>
      <c r="E13" s="190">
        <f>'Ottelu 3'!E152</f>
        <v>7</v>
      </c>
      <c r="F13" s="190">
        <f>'Ottelu 3'!F152</f>
        <v>1</v>
      </c>
      <c r="G13" s="190">
        <f>'Ottelu 3'!G152</f>
        <v>16</v>
      </c>
      <c r="H13" s="190">
        <f>'Ottelu 3'!H152</f>
        <v>3491</v>
      </c>
      <c r="I13" s="190"/>
      <c r="J13" s="190">
        <f>'Ottelu 3'!J152</f>
        <v>2</v>
      </c>
      <c r="K13" s="190">
        <f>'Ottelu 3'!K152</f>
        <v>6</v>
      </c>
      <c r="L13" s="190">
        <f>'Ottelu 3'!L152</f>
        <v>8</v>
      </c>
      <c r="M13" s="190">
        <f>'Ottelu 3'!M152</f>
        <v>0</v>
      </c>
      <c r="N13" s="191">
        <f>'Ottelu 3'!N152</f>
        <v>18.768817204301076</v>
      </c>
      <c r="O13" s="192">
        <f>'Ottelu 3'!O152</f>
        <v>1.1428571428571428</v>
      </c>
      <c r="P13" s="148"/>
      <c r="Q13" s="148"/>
    </row>
    <row r="14" spans="1:17" s="53" customFormat="1" ht="12.75">
      <c r="A14" s="189" t="str">
        <f>IF('Ottelu 3'!A153=0,0,'Ottelu 3'!A153)</f>
        <v>Björn Huldin</v>
      </c>
      <c r="B14" s="152" t="str">
        <f t="shared" si="0"/>
        <v>Grönan DC 2</v>
      </c>
      <c r="C14" s="177">
        <f>IF(OR(A14=$A$9,A14=$A$10,A14=$A$11,A14=$A$12),0,1)</f>
        <v>1</v>
      </c>
      <c r="D14" s="190">
        <f>'Ottelu 3'!D153</f>
        <v>255</v>
      </c>
      <c r="E14" s="190">
        <f>'Ottelu 3'!E153</f>
        <v>8</v>
      </c>
      <c r="F14" s="190">
        <f>'Ottelu 3'!F153</f>
        <v>5</v>
      </c>
      <c r="G14" s="190">
        <f>'Ottelu 3'!G153</f>
        <v>213</v>
      </c>
      <c r="H14" s="190">
        <f>'Ottelu 3'!H153</f>
        <v>3795</v>
      </c>
      <c r="I14" s="190"/>
      <c r="J14" s="190">
        <f>'Ottelu 3'!J153</f>
        <v>1</v>
      </c>
      <c r="K14" s="190">
        <f>'Ottelu 3'!K153</f>
        <v>3</v>
      </c>
      <c r="L14" s="190">
        <f>'Ottelu 3'!L153</f>
        <v>6</v>
      </c>
      <c r="M14" s="190">
        <f>'Ottelu 3'!M153</f>
        <v>0</v>
      </c>
      <c r="N14" s="191">
        <f>'Ottelu 3'!N153</f>
        <v>14.882352941176471</v>
      </c>
      <c r="O14" s="192">
        <f>'Ottelu 3'!O153</f>
        <v>0.75</v>
      </c>
      <c r="P14" s="148"/>
      <c r="Q14" s="148"/>
    </row>
    <row r="15" spans="1:17" s="53" customFormat="1" ht="12.75">
      <c r="A15" s="189" t="str">
        <f>IF('Ottelu 3'!A154=0,0,'Ottelu 3'!A154)</f>
        <v>Sakari Kinnunen</v>
      </c>
      <c r="B15" s="152" t="str">
        <f t="shared" si="0"/>
        <v>Grönan DC 2</v>
      </c>
      <c r="C15" s="177">
        <f>IF(OR(A15=$A$9,A15=$A$10,A15=$A$11,A15=$A$12),0,1)</f>
        <v>0</v>
      </c>
      <c r="D15" s="190">
        <f>'Ottelu 3'!D154</f>
        <v>194</v>
      </c>
      <c r="E15" s="190">
        <f>'Ottelu 3'!E154</f>
        <v>8</v>
      </c>
      <c r="F15" s="190">
        <f>'Ottelu 3'!F154</f>
        <v>2</v>
      </c>
      <c r="G15" s="190">
        <f>'Ottelu 3'!G154</f>
        <v>30</v>
      </c>
      <c r="H15" s="190">
        <f>'Ottelu 3'!H154</f>
        <v>3978</v>
      </c>
      <c r="I15" s="190"/>
      <c r="J15" s="190">
        <f>'Ottelu 3'!J154</f>
        <v>2</v>
      </c>
      <c r="K15" s="190">
        <f>'Ottelu 3'!K154</f>
        <v>6</v>
      </c>
      <c r="L15" s="190">
        <f>'Ottelu 3'!L154</f>
        <v>9</v>
      </c>
      <c r="M15" s="190">
        <f>'Ottelu 3'!M154</f>
        <v>1</v>
      </c>
      <c r="N15" s="191">
        <f>'Ottelu 3'!N154</f>
        <v>20.50515463917526</v>
      </c>
      <c r="O15" s="192">
        <f>'Ottelu 3'!O154</f>
        <v>1.25</v>
      </c>
      <c r="P15" s="148"/>
      <c r="Q15" s="148"/>
    </row>
    <row r="16" spans="1:17" s="53" customFormat="1" ht="12.75">
      <c r="A16" s="195" t="str">
        <f>IF('Ottelu 3'!A155=0,0,'Ottelu 3'!A155)</f>
        <v>Mikael Nyholm</v>
      </c>
      <c r="B16" s="146" t="str">
        <f t="shared" si="0"/>
        <v>Grönan DC 2</v>
      </c>
      <c r="C16" s="173">
        <f>IF(OR(A16=$A$9,A16=$A$10,A16=$A$11,A16=$A$12),0,1)</f>
        <v>0</v>
      </c>
      <c r="D16" s="149">
        <f>'Ottelu 3'!D155</f>
        <v>301</v>
      </c>
      <c r="E16" s="149">
        <f>'Ottelu 3'!E155</f>
        <v>10</v>
      </c>
      <c r="F16" s="149">
        <f>'Ottelu 3'!F155</f>
        <v>5</v>
      </c>
      <c r="G16" s="149">
        <f>'Ottelu 3'!G155</f>
        <v>471</v>
      </c>
      <c r="H16" s="149">
        <f>'Ottelu 3'!H155</f>
        <v>4539</v>
      </c>
      <c r="I16" s="149"/>
      <c r="J16" s="149">
        <f>'Ottelu 3'!J155</f>
        <v>1</v>
      </c>
      <c r="K16" s="149">
        <f>'Ottelu 3'!K155</f>
        <v>5</v>
      </c>
      <c r="L16" s="149">
        <f>'Ottelu 3'!L155</f>
        <v>5</v>
      </c>
      <c r="M16" s="149">
        <f>'Ottelu 3'!M155</f>
        <v>0</v>
      </c>
      <c r="N16" s="174">
        <f>'Ottelu 3'!N155</f>
        <v>15.079734219269103</v>
      </c>
      <c r="O16" s="194">
        <f>'Ottelu 3'!O155</f>
        <v>0.5</v>
      </c>
      <c r="P16" s="148"/>
      <c r="Q16" s="148"/>
    </row>
    <row r="17" spans="1:16" s="55" customFormat="1" ht="12.75">
      <c r="A17" s="51">
        <v>0</v>
      </c>
      <c r="B17" s="51"/>
      <c r="C17" s="175"/>
      <c r="D17" s="175">
        <v>0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6"/>
      <c r="P17" s="54"/>
    </row>
    <row r="18" spans="1:16" s="55" customFormat="1" ht="21" customHeight="1">
      <c r="A18" s="51">
        <v>0</v>
      </c>
      <c r="B18" s="51"/>
      <c r="C18" s="175"/>
      <c r="D18" s="175">
        <v>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6"/>
      <c r="P18" s="54"/>
    </row>
    <row r="19" spans="1:17" s="53" customFormat="1" ht="12.75">
      <c r="A19" s="183" t="str">
        <f>IF('Ottelu 1'!A152=0,0,'Ottelu 1'!A152)</f>
        <v>Jyri Vesalainen</v>
      </c>
      <c r="B19" s="184" t="str">
        <f aca="true" t="shared" si="1" ref="B19:B26">$B$4</f>
        <v>Kukon Tikka 3</v>
      </c>
      <c r="C19" s="185">
        <f>IF(A19=0,0,1)</f>
        <v>1</v>
      </c>
      <c r="D19" s="196">
        <f>'Ottelu 1'!D152</f>
        <v>234</v>
      </c>
      <c r="E19" s="196">
        <f>'Ottelu 1'!E152</f>
        <v>9</v>
      </c>
      <c r="F19" s="196">
        <f>'Ottelu 1'!F152</f>
        <v>4</v>
      </c>
      <c r="G19" s="196">
        <f>'Ottelu 1'!G152</f>
        <v>349</v>
      </c>
      <c r="H19" s="196">
        <f>'Ottelu 1'!H152</f>
        <v>4160</v>
      </c>
      <c r="I19" s="196"/>
      <c r="J19" s="196">
        <f>'Ottelu 1'!J152</f>
        <v>1</v>
      </c>
      <c r="K19" s="196">
        <f>'Ottelu 1'!K152</f>
        <v>5</v>
      </c>
      <c r="L19" s="196">
        <f>'Ottelu 1'!L152</f>
        <v>7</v>
      </c>
      <c r="M19" s="196">
        <f>'Ottelu 1'!M152</f>
        <v>0</v>
      </c>
      <c r="N19" s="197">
        <f>'Ottelu 1'!N152</f>
        <v>17.77777777777778</v>
      </c>
      <c r="O19" s="188">
        <f>'Ottelu 1'!O152</f>
        <v>0.7777777777777778</v>
      </c>
      <c r="P19" s="148"/>
      <c r="Q19" s="148"/>
    </row>
    <row r="20" spans="1:17" s="53" customFormat="1" ht="12.75">
      <c r="A20" s="189" t="str">
        <f>IF('Ottelu 1'!A153=0,0,'Ottelu 1'!A153)</f>
        <v>Olli-Pekka Kallioniemi</v>
      </c>
      <c r="B20" s="152" t="str">
        <f t="shared" si="1"/>
        <v>Kukon Tikka 3</v>
      </c>
      <c r="C20" s="177">
        <f>IF(A20=0,0,1)</f>
        <v>1</v>
      </c>
      <c r="D20" s="178">
        <f>'Ottelu 1'!D153</f>
        <v>215</v>
      </c>
      <c r="E20" s="178">
        <f>'Ottelu 1'!E153</f>
        <v>8</v>
      </c>
      <c r="F20" s="178">
        <f>'Ottelu 1'!F153</f>
        <v>4</v>
      </c>
      <c r="G20" s="178">
        <f>'Ottelu 1'!G153</f>
        <v>340</v>
      </c>
      <c r="H20" s="178">
        <f>'Ottelu 1'!H153</f>
        <v>3668</v>
      </c>
      <c r="I20" s="178"/>
      <c r="J20" s="178">
        <f>'Ottelu 1'!J153</f>
        <v>1</v>
      </c>
      <c r="K20" s="178">
        <f>'Ottelu 1'!K153</f>
        <v>4</v>
      </c>
      <c r="L20" s="178">
        <f>'Ottelu 1'!L153</f>
        <v>7</v>
      </c>
      <c r="M20" s="178">
        <f>'Ottelu 1'!M153</f>
        <v>0</v>
      </c>
      <c r="N20" s="179">
        <f>'Ottelu 1'!N153</f>
        <v>17.06046511627907</v>
      </c>
      <c r="O20" s="192">
        <f>'Ottelu 1'!O153</f>
        <v>0.875</v>
      </c>
      <c r="P20" s="148"/>
      <c r="Q20" s="148"/>
    </row>
    <row r="21" spans="1:17" s="53" customFormat="1" ht="12.75">
      <c r="A21" s="189" t="str">
        <f>IF('Ottelu 1'!A154=0,0,'Ottelu 1'!A154)</f>
        <v>Kari Laine</v>
      </c>
      <c r="B21" s="152" t="str">
        <f t="shared" si="1"/>
        <v>Kukon Tikka 3</v>
      </c>
      <c r="C21" s="177">
        <f>IF(A21=0,0,1)</f>
        <v>1</v>
      </c>
      <c r="D21" s="178">
        <f>'Ottelu 1'!D154</f>
        <v>280</v>
      </c>
      <c r="E21" s="178">
        <f>'Ottelu 1'!E154</f>
        <v>9</v>
      </c>
      <c r="F21" s="178">
        <f>'Ottelu 1'!F154</f>
        <v>5</v>
      </c>
      <c r="G21" s="178">
        <f>'Ottelu 1'!G154</f>
        <v>698</v>
      </c>
      <c r="H21" s="178">
        <f>'Ottelu 1'!H154</f>
        <v>3811</v>
      </c>
      <c r="I21" s="178"/>
      <c r="J21" s="178">
        <f>'Ottelu 1'!J154</f>
        <v>1</v>
      </c>
      <c r="K21" s="178">
        <f>'Ottelu 1'!K154</f>
        <v>4</v>
      </c>
      <c r="L21" s="178">
        <f>'Ottelu 1'!L154</f>
        <v>5</v>
      </c>
      <c r="M21" s="178">
        <f>'Ottelu 1'!M154</f>
        <v>0</v>
      </c>
      <c r="N21" s="179">
        <f>'Ottelu 1'!N154</f>
        <v>13.610714285714286</v>
      </c>
      <c r="O21" s="192">
        <f>'Ottelu 1'!O154</f>
        <v>0.5555555555555556</v>
      </c>
      <c r="P21" s="148"/>
      <c r="Q21" s="148"/>
    </row>
    <row r="22" spans="1:17" s="154" customFormat="1" ht="12.75">
      <c r="A22" s="195" t="str">
        <f>IF('Ottelu 1'!A155=0,0,'Ottelu 1'!A155)</f>
        <v>Ari Heinonen</v>
      </c>
      <c r="B22" s="146" t="str">
        <f t="shared" si="1"/>
        <v>Kukon Tikka 3</v>
      </c>
      <c r="C22" s="173">
        <f>IF(A22=0,0,1)</f>
        <v>1</v>
      </c>
      <c r="D22" s="180">
        <f>'Ottelu 1'!D155</f>
        <v>221</v>
      </c>
      <c r="E22" s="180">
        <f>'Ottelu 1'!E155</f>
        <v>8</v>
      </c>
      <c r="F22" s="180">
        <f>'Ottelu 1'!F155</f>
        <v>5</v>
      </c>
      <c r="G22" s="180">
        <f>'Ottelu 1'!G155</f>
        <v>371</v>
      </c>
      <c r="H22" s="180">
        <f>'Ottelu 1'!H155</f>
        <v>3637</v>
      </c>
      <c r="I22" s="180"/>
      <c r="J22" s="180">
        <f>'Ottelu 1'!J155</f>
        <v>1</v>
      </c>
      <c r="K22" s="180">
        <f>'Ottelu 1'!K155</f>
        <v>3</v>
      </c>
      <c r="L22" s="180">
        <f>'Ottelu 1'!L155</f>
        <v>7</v>
      </c>
      <c r="M22" s="180">
        <f>'Ottelu 1'!M155</f>
        <v>1</v>
      </c>
      <c r="N22" s="181">
        <f>'Ottelu 1'!N155</f>
        <v>16.457013574660632</v>
      </c>
      <c r="O22" s="194">
        <f>'Ottelu 1'!O155</f>
        <v>1</v>
      </c>
      <c r="P22" s="153"/>
      <c r="Q22" s="153"/>
    </row>
    <row r="23" spans="1:17" s="53" customFormat="1" ht="12.75">
      <c r="A23" s="189" t="str">
        <f>IF('Ottelu 2'!A148=0,0,'Ottelu 2'!A148)</f>
        <v>Jyri Vesalainen</v>
      </c>
      <c r="B23" s="152" t="str">
        <f t="shared" si="1"/>
        <v>Kukon Tikka 3</v>
      </c>
      <c r="C23" s="177">
        <f>IF(OR(A23=$A$19,A23=$A$20,A23=$A$21,A23=$A$22),0,1)</f>
        <v>0</v>
      </c>
      <c r="D23" s="178">
        <f>'Ottelu 2'!D148</f>
        <v>182</v>
      </c>
      <c r="E23" s="178">
        <f>'Ottelu 2'!E148</f>
        <v>6</v>
      </c>
      <c r="F23" s="178">
        <f>'Ottelu 2'!F148</f>
        <v>0</v>
      </c>
      <c r="G23" s="178">
        <f>'Ottelu 2'!G148</f>
        <v>0</v>
      </c>
      <c r="H23" s="178">
        <f>'Ottelu 2'!H148</f>
        <v>3006</v>
      </c>
      <c r="I23" s="178"/>
      <c r="J23" s="178">
        <f>'Ottelu 2'!J148</f>
        <v>2</v>
      </c>
      <c r="K23" s="178">
        <f>'Ottelu 2'!K148</f>
        <v>6</v>
      </c>
      <c r="L23" s="178">
        <f>'Ottelu 2'!L148</f>
        <v>3</v>
      </c>
      <c r="M23" s="178">
        <f>'Ottelu 2'!M148</f>
        <v>0</v>
      </c>
      <c r="N23" s="179">
        <f>'Ottelu 2'!N148</f>
        <v>16.516483516483518</v>
      </c>
      <c r="O23" s="192">
        <f>'Ottelu 2'!O148</f>
        <v>0.5</v>
      </c>
      <c r="P23" s="148"/>
      <c r="Q23" s="148"/>
    </row>
    <row r="24" spans="1:17" s="53" customFormat="1" ht="12.75">
      <c r="A24" s="189" t="str">
        <f>IF('Ottelu 2'!A149=0,0,'Ottelu 2'!A149)</f>
        <v>Olli-Pekka Kallioniemi</v>
      </c>
      <c r="B24" s="152" t="str">
        <f t="shared" si="1"/>
        <v>Kukon Tikka 3</v>
      </c>
      <c r="C24" s="177">
        <f>IF(OR(A24=$A$19,A24=$A$20,A24=$A$21,A24=$A$22),0,1)</f>
        <v>0</v>
      </c>
      <c r="D24" s="178">
        <f>'Ottelu 2'!D149</f>
        <v>291</v>
      </c>
      <c r="E24" s="178">
        <f>'Ottelu 2'!E149</f>
        <v>9</v>
      </c>
      <c r="F24" s="178">
        <f>'Ottelu 2'!F149</f>
        <v>3</v>
      </c>
      <c r="G24" s="178">
        <f>'Ottelu 2'!G149</f>
        <v>32</v>
      </c>
      <c r="H24" s="178">
        <f>'Ottelu 2'!H149</f>
        <v>4477</v>
      </c>
      <c r="I24" s="178"/>
      <c r="J24" s="178">
        <f>'Ottelu 2'!J149</f>
        <v>2</v>
      </c>
      <c r="K24" s="178">
        <f>'Ottelu 2'!K149</f>
        <v>6</v>
      </c>
      <c r="L24" s="178">
        <f>'Ottelu 2'!L149</f>
        <v>6</v>
      </c>
      <c r="M24" s="178">
        <f>'Ottelu 2'!M149</f>
        <v>0</v>
      </c>
      <c r="N24" s="179">
        <f>'Ottelu 2'!N149</f>
        <v>15.384879725085911</v>
      </c>
      <c r="O24" s="192">
        <f>'Ottelu 2'!O149</f>
        <v>0.6666666666666666</v>
      </c>
      <c r="P24" s="148"/>
      <c r="Q24" s="148"/>
    </row>
    <row r="25" spans="1:17" s="53" customFormat="1" ht="12.75">
      <c r="A25" s="189" t="str">
        <f>IF('Ottelu 2'!A150=0,0,'Ottelu 2'!A150)</f>
        <v>Kari Laine</v>
      </c>
      <c r="B25" s="152" t="str">
        <f t="shared" si="1"/>
        <v>Kukon Tikka 3</v>
      </c>
      <c r="C25" s="177">
        <f>IF(OR(A25=$A$19,A25=$A$20,A25=$A$21,A25=$A$22),0,1)</f>
        <v>0</v>
      </c>
      <c r="D25" s="178">
        <f>'Ottelu 2'!D150</f>
        <v>230</v>
      </c>
      <c r="E25" s="178">
        <f>'Ottelu 2'!E150</f>
        <v>7</v>
      </c>
      <c r="F25" s="178">
        <f>'Ottelu 2'!F150</f>
        <v>6</v>
      </c>
      <c r="G25" s="178">
        <f>'Ottelu 2'!G150</f>
        <v>400</v>
      </c>
      <c r="H25" s="178">
        <f>'Ottelu 2'!H150</f>
        <v>3107</v>
      </c>
      <c r="I25" s="178"/>
      <c r="J25" s="178">
        <f>'Ottelu 2'!J150</f>
        <v>0</v>
      </c>
      <c r="K25" s="178">
        <f>'Ottelu 2'!K150</f>
        <v>1</v>
      </c>
      <c r="L25" s="178">
        <f>'Ottelu 2'!L150</f>
        <v>2</v>
      </c>
      <c r="M25" s="178">
        <f>'Ottelu 2'!M150</f>
        <v>0</v>
      </c>
      <c r="N25" s="179">
        <f>'Ottelu 2'!N150</f>
        <v>13.508695652173913</v>
      </c>
      <c r="O25" s="192">
        <f>'Ottelu 2'!O150</f>
        <v>0.2857142857142857</v>
      </c>
      <c r="P25" s="148"/>
      <c r="Q25" s="148"/>
    </row>
    <row r="26" spans="1:17" s="53" customFormat="1" ht="12.75">
      <c r="A26" s="195" t="str">
        <f>IF('Ottelu 2'!A151=0,0,'Ottelu 2'!A151)</f>
        <v>Ari Heinonen</v>
      </c>
      <c r="B26" s="146" t="str">
        <f t="shared" si="1"/>
        <v>Kukon Tikka 3</v>
      </c>
      <c r="C26" s="173">
        <f>IF(OR(A26=$A$19,A26=$A$20,A26=$A$21,A26=$A$22),0,1)</f>
        <v>0</v>
      </c>
      <c r="D26" s="180">
        <f>'Ottelu 2'!D151</f>
        <v>181</v>
      </c>
      <c r="E26" s="180">
        <f>'Ottelu 2'!E151</f>
        <v>6</v>
      </c>
      <c r="F26" s="180">
        <f>'Ottelu 2'!F151</f>
        <v>0</v>
      </c>
      <c r="G26" s="180">
        <f>'Ottelu 2'!G151</f>
        <v>0</v>
      </c>
      <c r="H26" s="180">
        <f>'Ottelu 2'!H151</f>
        <v>3006</v>
      </c>
      <c r="I26" s="180"/>
      <c r="J26" s="180">
        <f>'Ottelu 2'!J151</f>
        <v>2</v>
      </c>
      <c r="K26" s="180">
        <f>'Ottelu 2'!K151</f>
        <v>6</v>
      </c>
      <c r="L26" s="180">
        <f>'Ottelu 2'!L151</f>
        <v>4</v>
      </c>
      <c r="M26" s="180">
        <f>'Ottelu 2'!M151</f>
        <v>0</v>
      </c>
      <c r="N26" s="181">
        <f>'Ottelu 2'!N151</f>
        <v>16.607734806629836</v>
      </c>
      <c r="O26" s="194">
        <f>'Ottelu 2'!O151</f>
        <v>0.6666666666666666</v>
      </c>
      <c r="P26" s="148"/>
      <c r="Q26" s="148"/>
    </row>
    <row r="27" spans="3:15" s="55" customFormat="1" ht="12.75"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  <c r="O27" s="176"/>
    </row>
    <row r="28" spans="3:15" s="55" customFormat="1" ht="12.75"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6"/>
    </row>
    <row r="29" spans="1:17" s="55" customFormat="1" ht="12.75">
      <c r="A29" s="183" t="str">
        <f>IF('Ottelu 2'!A152=0,0,'Ottelu 2'!A152)</f>
        <v>Rami Mondolin</v>
      </c>
      <c r="B29" s="198" t="str">
        <f aca="true" t="shared" si="2" ref="B29:B36">$B$5</f>
        <v>Satatikka 2</v>
      </c>
      <c r="C29" s="185">
        <f>IF(A29=0,0,1)</f>
        <v>1</v>
      </c>
      <c r="D29" s="196">
        <f>'Ottelu 2'!D152</f>
        <v>245</v>
      </c>
      <c r="E29" s="196">
        <f>'Ottelu 2'!E152</f>
        <v>8</v>
      </c>
      <c r="F29" s="196">
        <f>'Ottelu 2'!F152</f>
        <v>6</v>
      </c>
      <c r="G29" s="196">
        <f>'Ottelu 2'!G152</f>
        <v>374</v>
      </c>
      <c r="H29" s="196">
        <f>'Ottelu 2'!H152</f>
        <v>3634</v>
      </c>
      <c r="I29" s="196"/>
      <c r="J29" s="196">
        <f>'Ottelu 2'!J152</f>
        <v>0</v>
      </c>
      <c r="K29" s="196">
        <f>'Ottelu 2'!K152</f>
        <v>2</v>
      </c>
      <c r="L29" s="196">
        <f>'Ottelu 2'!L152</f>
        <v>2</v>
      </c>
      <c r="M29" s="196">
        <f>'Ottelu 2'!M152</f>
        <v>0</v>
      </c>
      <c r="N29" s="197">
        <f>'Ottelu 2'!N152</f>
        <v>14.83265306122449</v>
      </c>
      <c r="O29" s="188">
        <f>'Ottelu 2'!O152</f>
        <v>0.25</v>
      </c>
      <c r="P29" s="148"/>
      <c r="Q29" s="151"/>
    </row>
    <row r="30" spans="1:17" s="55" customFormat="1" ht="12.75">
      <c r="A30" s="189" t="str">
        <f>IF('Ottelu 2'!A153=0,0,'Ottelu 2'!A153)</f>
        <v>Jouni I. Kataja</v>
      </c>
      <c r="B30" s="155" t="str">
        <f t="shared" si="2"/>
        <v>Satatikka 2</v>
      </c>
      <c r="C30" s="177">
        <f>IF(A30=0,0,1)</f>
        <v>1</v>
      </c>
      <c r="D30" s="178">
        <f>'Ottelu 2'!D153</f>
        <v>225</v>
      </c>
      <c r="E30" s="178">
        <f>'Ottelu 2'!E153</f>
        <v>7</v>
      </c>
      <c r="F30" s="178">
        <f>'Ottelu 2'!F153</f>
        <v>6</v>
      </c>
      <c r="G30" s="178">
        <f>'Ottelu 2'!G153</f>
        <v>240</v>
      </c>
      <c r="H30" s="178">
        <f>'Ottelu 2'!H153</f>
        <v>3267</v>
      </c>
      <c r="I30" s="178"/>
      <c r="J30" s="178">
        <f>'Ottelu 2'!J153</f>
        <v>0</v>
      </c>
      <c r="K30" s="178">
        <f>'Ottelu 2'!K153</f>
        <v>1</v>
      </c>
      <c r="L30" s="178">
        <f>'Ottelu 2'!L153</f>
        <v>5</v>
      </c>
      <c r="M30" s="178">
        <f>'Ottelu 2'!M153</f>
        <v>0</v>
      </c>
      <c r="N30" s="179">
        <f>'Ottelu 2'!N153</f>
        <v>14.52</v>
      </c>
      <c r="O30" s="192">
        <f>'Ottelu 2'!O153</f>
        <v>0.7142857142857143</v>
      </c>
      <c r="P30" s="148"/>
      <c r="Q30" s="151"/>
    </row>
    <row r="31" spans="1:17" s="55" customFormat="1" ht="12.75">
      <c r="A31" s="189" t="str">
        <f>IF('Ottelu 2'!A154=0,0,'Ottelu 2'!A154)</f>
        <v>Tomi Aaltonen</v>
      </c>
      <c r="B31" s="155" t="str">
        <f t="shared" si="2"/>
        <v>Satatikka 2</v>
      </c>
      <c r="C31" s="177">
        <f>IF(A31=0,0,1)</f>
        <v>1</v>
      </c>
      <c r="D31" s="178">
        <f>'Ottelu 2'!D154</f>
        <v>179</v>
      </c>
      <c r="E31" s="178">
        <f>'Ottelu 2'!E154</f>
        <v>6</v>
      </c>
      <c r="F31" s="178">
        <f>'Ottelu 2'!F154</f>
        <v>3</v>
      </c>
      <c r="G31" s="178">
        <f>'Ottelu 2'!G154</f>
        <v>30</v>
      </c>
      <c r="H31" s="178">
        <f>'Ottelu 2'!H154</f>
        <v>2976</v>
      </c>
      <c r="I31" s="178"/>
      <c r="J31" s="178">
        <f>'Ottelu 2'!J154</f>
        <v>1</v>
      </c>
      <c r="K31" s="178">
        <f>'Ottelu 2'!K154</f>
        <v>3</v>
      </c>
      <c r="L31" s="178">
        <f>'Ottelu 2'!L154</f>
        <v>6</v>
      </c>
      <c r="M31" s="178">
        <f>'Ottelu 2'!M154</f>
        <v>0</v>
      </c>
      <c r="N31" s="179">
        <f>'Ottelu 2'!N154</f>
        <v>16.625698324022345</v>
      </c>
      <c r="O31" s="192">
        <f>'Ottelu 2'!O154</f>
        <v>1</v>
      </c>
      <c r="P31" s="148"/>
      <c r="Q31" s="151"/>
    </row>
    <row r="32" spans="1:17" s="157" customFormat="1" ht="12.75">
      <c r="A32" s="195" t="str">
        <f>IF('Ottelu 2'!A155=0,0,'Ottelu 2'!A155)</f>
        <v>Seppo Makkonen</v>
      </c>
      <c r="B32" s="147" t="str">
        <f t="shared" si="2"/>
        <v>Satatikka 2</v>
      </c>
      <c r="C32" s="173">
        <f>IF(A32=0,0,1)</f>
        <v>1</v>
      </c>
      <c r="D32" s="180">
        <f>'Ottelu 2'!D155</f>
        <v>229</v>
      </c>
      <c r="E32" s="180">
        <f>'Ottelu 2'!E155</f>
        <v>7</v>
      </c>
      <c r="F32" s="180">
        <f>'Ottelu 2'!F155</f>
        <v>4</v>
      </c>
      <c r="G32" s="180">
        <f>'Ottelu 2'!G155</f>
        <v>541</v>
      </c>
      <c r="H32" s="180">
        <f>'Ottelu 2'!H155</f>
        <v>2966</v>
      </c>
      <c r="I32" s="180"/>
      <c r="J32" s="180">
        <f>'Ottelu 2'!J155</f>
        <v>1</v>
      </c>
      <c r="K32" s="180">
        <f>'Ottelu 2'!K155</f>
        <v>3</v>
      </c>
      <c r="L32" s="180">
        <f>'Ottelu 2'!L155</f>
        <v>1</v>
      </c>
      <c r="M32" s="180">
        <f>'Ottelu 2'!M155</f>
        <v>0</v>
      </c>
      <c r="N32" s="181">
        <f>'Ottelu 2'!N155</f>
        <v>12.951965065502183</v>
      </c>
      <c r="O32" s="194">
        <f>'Ottelu 2'!O155</f>
        <v>0.14285714285714285</v>
      </c>
      <c r="P32" s="153"/>
      <c r="Q32" s="156"/>
    </row>
    <row r="33" spans="1:17" s="53" customFormat="1" ht="12.75">
      <c r="A33" s="189" t="str">
        <f>IF('Ottelu 3'!A148=0,0,'Ottelu 3'!A148)</f>
        <v>Rami Mondolin</v>
      </c>
      <c r="B33" s="155" t="str">
        <f t="shared" si="2"/>
        <v>Satatikka 2</v>
      </c>
      <c r="C33" s="199">
        <f>IF(OR(A33=$A$29,A33=$A$30,A33=$A$31,A33=$A$32),0,1)</f>
        <v>0</v>
      </c>
      <c r="D33" s="178">
        <f>'Ottelu 3'!D148</f>
        <v>197</v>
      </c>
      <c r="E33" s="178">
        <f>'Ottelu 3'!E148</f>
        <v>7</v>
      </c>
      <c r="F33" s="178">
        <f>'Ottelu 3'!F148</f>
        <v>3</v>
      </c>
      <c r="G33" s="178">
        <f>'Ottelu 3'!G148</f>
        <v>388</v>
      </c>
      <c r="H33" s="178">
        <f>'Ottelu 3'!H148</f>
        <v>3119</v>
      </c>
      <c r="I33" s="178"/>
      <c r="J33" s="178">
        <f>'Ottelu 3'!J148</f>
        <v>1</v>
      </c>
      <c r="K33" s="178">
        <f>'Ottelu 3'!K148</f>
        <v>4</v>
      </c>
      <c r="L33" s="178">
        <f>'Ottelu 3'!L148</f>
        <v>3</v>
      </c>
      <c r="M33" s="178">
        <f>'Ottelu 3'!M148</f>
        <v>0</v>
      </c>
      <c r="N33" s="179">
        <f>'Ottelu 3'!N148</f>
        <v>15.83248730964467</v>
      </c>
      <c r="O33" s="192">
        <f>'Ottelu 3'!O148</f>
        <v>0.42857142857142855</v>
      </c>
      <c r="P33" s="148"/>
      <c r="Q33" s="148"/>
    </row>
    <row r="34" spans="1:17" s="53" customFormat="1" ht="12.75">
      <c r="A34" s="189" t="str">
        <f>IF('Ottelu 3'!A149=0,0,'Ottelu 3'!A149)</f>
        <v>Jouni I. Kataja</v>
      </c>
      <c r="B34" s="155" t="str">
        <f t="shared" si="2"/>
        <v>Satatikka 2</v>
      </c>
      <c r="C34" s="199">
        <f>IF(OR(A34=$A$29,A34=$A$30,A34=$A$31,A34=$A$32),0,1)</f>
        <v>0</v>
      </c>
      <c r="D34" s="178">
        <f>'Ottelu 3'!D149</f>
        <v>241</v>
      </c>
      <c r="E34" s="178">
        <f>'Ottelu 3'!E149</f>
        <v>8</v>
      </c>
      <c r="F34" s="178">
        <f>'Ottelu 3'!F149</f>
        <v>6</v>
      </c>
      <c r="G34" s="178">
        <f>'Ottelu 3'!G149</f>
        <v>495</v>
      </c>
      <c r="H34" s="178">
        <f>'Ottelu 3'!H149</f>
        <v>3513</v>
      </c>
      <c r="I34" s="178"/>
      <c r="J34" s="178">
        <f>'Ottelu 3'!J149</f>
        <v>0</v>
      </c>
      <c r="K34" s="178">
        <f>'Ottelu 3'!K149</f>
        <v>2</v>
      </c>
      <c r="L34" s="178">
        <f>'Ottelu 3'!L149</f>
        <v>3</v>
      </c>
      <c r="M34" s="178">
        <f>'Ottelu 3'!M149</f>
        <v>0</v>
      </c>
      <c r="N34" s="179">
        <f>'Ottelu 3'!N149</f>
        <v>14.576763485477178</v>
      </c>
      <c r="O34" s="192">
        <f>'Ottelu 3'!O149</f>
        <v>0.375</v>
      </c>
      <c r="P34" s="148"/>
      <c r="Q34" s="148"/>
    </row>
    <row r="35" spans="1:17" s="53" customFormat="1" ht="12.75">
      <c r="A35" s="189" t="str">
        <f>IF('Ottelu 3'!A150=0,0,'Ottelu 3'!A150)</f>
        <v>Tomi Aaltonen</v>
      </c>
      <c r="B35" s="155" t="str">
        <f t="shared" si="2"/>
        <v>Satatikka 2</v>
      </c>
      <c r="C35" s="199">
        <f>IF(OR(A35=$A$29,A35=$A$30,A35=$A$31,A35=$A$32),0,1)</f>
        <v>0</v>
      </c>
      <c r="D35" s="178">
        <f>'Ottelu 3'!D150</f>
        <v>213</v>
      </c>
      <c r="E35" s="178">
        <f>'Ottelu 3'!E150</f>
        <v>8</v>
      </c>
      <c r="F35" s="178">
        <f>'Ottelu 3'!F150</f>
        <v>6</v>
      </c>
      <c r="G35" s="178">
        <f>'Ottelu 3'!G150</f>
        <v>598</v>
      </c>
      <c r="H35" s="178">
        <f>'Ottelu 3'!H150</f>
        <v>3410</v>
      </c>
      <c r="I35" s="178"/>
      <c r="J35" s="178">
        <f>'Ottelu 3'!J150</f>
        <v>0</v>
      </c>
      <c r="K35" s="178">
        <f>'Ottelu 3'!K150</f>
        <v>2</v>
      </c>
      <c r="L35" s="178">
        <f>'Ottelu 3'!L150</f>
        <v>13</v>
      </c>
      <c r="M35" s="178">
        <f>'Ottelu 3'!M150</f>
        <v>1</v>
      </c>
      <c r="N35" s="179">
        <f>'Ottelu 3'!N150</f>
        <v>16.009389671361504</v>
      </c>
      <c r="O35" s="192">
        <f>'Ottelu 3'!O150</f>
        <v>1.75</v>
      </c>
      <c r="P35" s="148"/>
      <c r="Q35" s="148"/>
    </row>
    <row r="36" spans="1:17" s="53" customFormat="1" ht="12.75">
      <c r="A36" s="195" t="str">
        <f>IF('Ottelu 3'!A151=0,0,'Ottelu 3'!A151)</f>
        <v>Seppo Makkonen</v>
      </c>
      <c r="B36" s="147" t="str">
        <f t="shared" si="2"/>
        <v>Satatikka 2</v>
      </c>
      <c r="C36" s="200">
        <f>IF(OR(A36=$A$29,A36=$A$30,A36=$A$31,A36=$A$32),0,1)</f>
        <v>0</v>
      </c>
      <c r="D36" s="180">
        <f>'Ottelu 3'!D151</f>
        <v>285</v>
      </c>
      <c r="E36" s="180">
        <f>'Ottelu 3'!E151</f>
        <v>10</v>
      </c>
      <c r="F36" s="180">
        <f>'Ottelu 3'!F151</f>
        <v>5</v>
      </c>
      <c r="G36" s="180">
        <f>'Ottelu 3'!G151</f>
        <v>346</v>
      </c>
      <c r="H36" s="180">
        <f>'Ottelu 3'!H151</f>
        <v>4664</v>
      </c>
      <c r="I36" s="180"/>
      <c r="J36" s="180">
        <f>'Ottelu 3'!J151</f>
        <v>1</v>
      </c>
      <c r="K36" s="180">
        <f>'Ottelu 3'!K151</f>
        <v>5</v>
      </c>
      <c r="L36" s="180">
        <f>'Ottelu 3'!L151</f>
        <v>11</v>
      </c>
      <c r="M36" s="180">
        <f>'Ottelu 3'!M151</f>
        <v>0</v>
      </c>
      <c r="N36" s="181">
        <f>'Ottelu 3'!N151</f>
        <v>16.364912280701756</v>
      </c>
      <c r="O36" s="194">
        <f>'Ottelu 3'!O151</f>
        <v>1.1</v>
      </c>
      <c r="P36" s="148"/>
      <c r="Q36" s="148"/>
    </row>
    <row r="37" s="53" customFormat="1" ht="12.75">
      <c r="C37" s="52"/>
    </row>
    <row r="38" s="53" customFormat="1" ht="12.75">
      <c r="C38" s="52"/>
    </row>
    <row r="39" spans="3:18" s="144" customFormat="1" ht="12.75">
      <c r="C39" s="14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3:18" s="144" customFormat="1" ht="12.75">
      <c r="C40" s="145"/>
      <c r="J40" s="143"/>
      <c r="Q40" s="143"/>
      <c r="R40" s="143"/>
    </row>
    <row r="41" spans="1:18" s="144" customFormat="1" ht="12.75">
      <c r="A41" s="50"/>
      <c r="B41" s="50"/>
      <c r="C41" s="145"/>
      <c r="J41" s="143"/>
      <c r="Q41" s="143"/>
      <c r="R41" s="143"/>
    </row>
    <row r="42" spans="1:18" s="134" customFormat="1" ht="12.75">
      <c r="A42" s="48"/>
      <c r="B42" s="50"/>
      <c r="C42" s="145"/>
      <c r="J42" s="143"/>
      <c r="Q42" s="143"/>
      <c r="R42" s="143"/>
    </row>
    <row r="43" spans="1:18" s="134" customFormat="1" ht="12.75">
      <c r="A43" s="48"/>
      <c r="B43" s="50"/>
      <c r="C43" s="145"/>
      <c r="D43" s="141"/>
      <c r="E43" s="141"/>
      <c r="F43" s="141"/>
      <c r="G43" s="141"/>
      <c r="J43" s="141"/>
      <c r="Q43" s="141"/>
      <c r="R43" s="141"/>
    </row>
    <row r="44" spans="1:18" s="134" customFormat="1" ht="12.75">
      <c r="A44" s="48"/>
      <c r="B44" s="50"/>
      <c r="C44" s="145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42"/>
      <c r="Q44" s="141"/>
      <c r="R44" s="141"/>
    </row>
  </sheetData>
  <sheetProtection selectLockedCells="1" selectUnlockedCells="1"/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showGridLines="0"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94.57421875" style="137" customWidth="1"/>
    <col min="2" max="2" width="1.7109375" style="335" customWidth="1"/>
    <col min="3" max="3" width="2.140625" style="336" customWidth="1"/>
    <col min="4" max="4" width="3.421875" style="336" customWidth="1"/>
    <col min="5" max="11" width="9.140625" style="336" customWidth="1"/>
    <col min="12" max="16384" width="9.140625" style="134" customWidth="1"/>
  </cols>
  <sheetData>
    <row r="1" spans="1:11" s="133" customFormat="1" ht="8.25" customHeight="1">
      <c r="A1" s="137"/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ht="31.5" customHeight="1">
      <c r="A2" s="172" t="s">
        <v>67</v>
      </c>
    </row>
    <row r="3" ht="16.5" customHeight="1"/>
    <row r="4" ht="14.25" customHeight="1">
      <c r="A4" s="249"/>
    </row>
    <row r="5" ht="33.75" customHeight="1">
      <c r="A5" s="277" t="s">
        <v>73</v>
      </c>
    </row>
    <row r="6" ht="35.25" customHeight="1">
      <c r="A6" s="278" t="s">
        <v>81</v>
      </c>
    </row>
    <row r="7" ht="19.5" customHeight="1">
      <c r="A7" s="169" t="s">
        <v>75</v>
      </c>
    </row>
    <row r="8" ht="19.5" customHeight="1">
      <c r="A8" s="169" t="s">
        <v>76</v>
      </c>
    </row>
    <row r="9" ht="19.5" customHeight="1">
      <c r="A9" s="169" t="s">
        <v>68</v>
      </c>
    </row>
    <row r="10" ht="19.5" customHeight="1">
      <c r="A10" s="169" t="s">
        <v>56</v>
      </c>
    </row>
    <row r="11" ht="19.5" customHeight="1">
      <c r="A11" s="169" t="s">
        <v>82</v>
      </c>
    </row>
    <row r="12" ht="33" customHeight="1">
      <c r="A12" s="169" t="s">
        <v>83</v>
      </c>
    </row>
    <row r="13" ht="37.5" customHeight="1">
      <c r="A13" s="279" t="s">
        <v>54</v>
      </c>
    </row>
    <row r="14" ht="37.5" customHeight="1">
      <c r="A14" s="280" t="s">
        <v>74</v>
      </c>
    </row>
    <row r="15" spans="1:11" s="139" customFormat="1" ht="25.5" customHeight="1">
      <c r="A15" s="168"/>
      <c r="B15" s="337"/>
      <c r="C15" s="338"/>
      <c r="D15" s="338"/>
      <c r="E15" s="338"/>
      <c r="F15" s="338"/>
      <c r="G15" s="338"/>
      <c r="H15" s="338"/>
      <c r="I15" s="338"/>
      <c r="J15" s="338"/>
      <c r="K15" s="338"/>
    </row>
    <row r="16" ht="30">
      <c r="A16" s="169" t="s">
        <v>88</v>
      </c>
    </row>
    <row r="17" ht="15.75">
      <c r="A17" s="327" t="s">
        <v>85</v>
      </c>
    </row>
    <row r="18" ht="15.75">
      <c r="A18" s="327" t="s">
        <v>86</v>
      </c>
    </row>
    <row r="19" ht="34.5" customHeight="1">
      <c r="A19" s="333" t="s">
        <v>87</v>
      </c>
    </row>
    <row r="20" ht="15">
      <c r="A20" s="169" t="s">
        <v>57</v>
      </c>
    </row>
    <row r="21" ht="48.75" customHeight="1">
      <c r="A21" s="334" t="s">
        <v>77</v>
      </c>
    </row>
    <row r="22" ht="30">
      <c r="A22" s="243" t="s">
        <v>90</v>
      </c>
    </row>
    <row r="23" ht="35.25" customHeight="1">
      <c r="A23" s="328" t="s">
        <v>91</v>
      </c>
    </row>
    <row r="24" ht="33" customHeight="1">
      <c r="A24" s="244" t="s">
        <v>55</v>
      </c>
    </row>
    <row r="25" ht="9.75" customHeight="1"/>
    <row r="26" ht="21.75" customHeight="1">
      <c r="A26" s="245"/>
    </row>
    <row r="27" ht="30.75" customHeight="1">
      <c r="A27" s="170" t="s">
        <v>78</v>
      </c>
    </row>
    <row r="28" spans="1:11" s="133" customFormat="1" ht="33" customHeight="1">
      <c r="A28" s="265" t="s">
        <v>72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</row>
    <row r="29" ht="55.5" customHeight="1">
      <c r="A29" s="281" t="s">
        <v>89</v>
      </c>
    </row>
    <row r="30" ht="30">
      <c r="A30" s="170" t="s">
        <v>84</v>
      </c>
    </row>
    <row r="31" ht="15">
      <c r="A31" s="264"/>
    </row>
    <row r="32" ht="15"/>
  </sheetData>
  <sheetProtection password="C5B2" sheet="1" objects="1" scenarios="1"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Tapani Heikkilä</dc:creator>
  <cp:keywords/>
  <dc:description/>
  <cp:lastModifiedBy>Jarno Aho</cp:lastModifiedBy>
  <cp:lastPrinted>2020-01-11T13:50:46Z</cp:lastPrinted>
  <dcterms:created xsi:type="dcterms:W3CDTF">2000-08-29T07:02:42Z</dcterms:created>
  <dcterms:modified xsi:type="dcterms:W3CDTF">2020-01-11T16:12:09Z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