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a8bc860bb328f86/Darts/Grönan DC 2021-22/"/>
    </mc:Choice>
  </mc:AlternateContent>
  <xr:revisionPtr revIDLastSave="281" documentId="8_{DE4DA666-0494-41F3-9E39-F6F1068B2F07}" xr6:coauthVersionLast="47" xr6:coauthVersionMax="47" xr10:uidLastSave="{FC0F98F1-B9FE-4142-B6F4-CC1FA8086800}"/>
  <bookViews>
    <workbookView xWindow="-120" yWindow="-120" windowWidth="29040" windowHeight="15720" activeTab="2" xr2:uid="{00000000-000D-0000-FFFF-FFFF00000000}"/>
  </bookViews>
  <sheets>
    <sheet name="tilasto" sheetId="9" r:id="rId1"/>
    <sheet name="Ottelu 1" sheetId="10" r:id="rId2"/>
    <sheet name="Ottelu 2" sheetId="18" r:id="rId3"/>
    <sheet name="apuri" sheetId="6" state="hidden" r:id="rId4"/>
    <sheet name="OHJE vanha" sheetId="17" state="hidden" r:id="rId5"/>
    <sheet name="OHJE" sheetId="19" r:id="rId6"/>
  </sheets>
  <definedNames>
    <definedName name="_xlnm._FilterDatabase" localSheetId="1" hidden="1">'Ottelu 1'!$B$12:$C$16</definedName>
    <definedName name="_xlnm.Criteria" localSheetId="1">'Ottelu 1'!$C$13:$L$16</definedName>
    <definedName name="Joukkue_A_aloittaa_ruksilla__x__merkityt_ottelut" localSheetId="2">'Ottelu 2'!$B$28</definedName>
    <definedName name="Joukkue_A_aloittaa_ruksilla__x__merkityt_ottelut">'Ottelu 1'!$B$28</definedName>
    <definedName name="L" comment="LISÄPELI" localSheetId="1">'Ottelu 1'!$A$147</definedName>
    <definedName name="L" localSheetId="2">'Ottelu 2'!$A$147</definedName>
    <definedName name="L">#REF!</definedName>
    <definedName name="OTTELU_1" localSheetId="2">'Ottelu 2'!$B$62</definedName>
    <definedName name="OTTELU_1">'Ottelu 1'!$A$61</definedName>
    <definedName name="OTTELU_2" localSheetId="2">'Ottelu 2'!$B$71</definedName>
    <definedName name="OTTELU_2">'Ottelu 1'!$B$71</definedName>
    <definedName name="OTTELU_3" localSheetId="2">'Ottelu 2'!$B$81</definedName>
    <definedName name="OTTELU_3">'Ottelu 1'!$B$81</definedName>
    <definedName name="OTTELU_4" localSheetId="2">'Ottelu 2'!$B$92</definedName>
    <definedName name="OTTELU_4">'Ottelu 1'!$B$92</definedName>
    <definedName name="OTTELU_5" localSheetId="2">'Ottelu 2'!$B$102</definedName>
    <definedName name="OTTELU_5">'Ottelu 1'!$B$102</definedName>
    <definedName name="OTTELU_6" localSheetId="2">'Ottelu 2'!$B$112</definedName>
    <definedName name="OTTELU_6">'Ottelu 1'!$B$112</definedName>
    <definedName name="OTTELU_7" localSheetId="2">'Ottelu 2'!$A$121</definedName>
    <definedName name="OTTELU_7">'Ottelu 1'!$A$121</definedName>
    <definedName name="OTTELU_8" localSheetId="2">'Ottelu 2'!$B$132</definedName>
    <definedName name="OTTELU_8">'Ottelu 1'!$B$131</definedName>
    <definedName name="pekka">'Ottelu 1'!$AM$14:$AM$16</definedName>
    <definedName name="pelaaja2_1">'Ottelu 1'!$O$13</definedName>
    <definedName name="pelaajat">'Ottelu 1'!$AM$13:$AM$16</definedName>
    <definedName name="Peli1JoukkueA" localSheetId="2">'Ottelu 2'!$C$13:$H$16</definedName>
    <definedName name="Peli1JoukkueA">'Ottelu 1'!$C$13:$H$16</definedName>
    <definedName name="Peli1JoukkueB" localSheetId="2">'Ottelu 2'!$S$13:$T$16</definedName>
    <definedName name="Peli1JoukkueB">'Ottelu 1'!$S$13:$T$16</definedName>
    <definedName name="top" localSheetId="2">'Ottelu 2'!$B$8</definedName>
    <definedName name="top">'Ottelu 1'!$B$8</definedName>
    <definedName name="_xlnm.Print_Area" localSheetId="4">'OHJE vanha'!$A$1:$A$29</definedName>
    <definedName name="_xlnm.Print_Area" localSheetId="1">'Ottelu 1'!$A$1:$AG$46</definedName>
    <definedName name="_xlnm.Print_Area" localSheetId="2">'Ottelu 2'!$A$1:$AG$46</definedName>
    <definedName name="_xlnm.Print_Area" localSheetId="0">tilasto!$B$1:$L$42</definedName>
    <definedName name="Z_D7BA83DF_7FB9_4BC8_8608_11C4C7AC2BBD_.wvu.PrintArea" localSheetId="1" hidden="1">'Ottelu 1'!$A$1:$AG$46</definedName>
    <definedName name="Z_D7BA83DF_7FB9_4BC8_8608_11C4C7AC2BBD_.wvu.PrintArea" localSheetId="2" hidden="1">'Ottelu 2'!$A$1:$AG$46</definedName>
    <definedName name="Z_D7BA83DF_7FB9_4BC8_8608_11C4C7AC2BBD_.wvu.PrintArea" localSheetId="0" hidden="1">tilasto!$B$1:$N$40</definedName>
  </definedNames>
  <calcPr calcId="191029"/>
  <customWorkbookViews>
    <customWorkbookView name="perusnäkymä" guid="{D7BA83DF-7FB9-4BC8-8608-11C4C7AC2BBD}" includeHiddenRowCol="0" maximized="1" xWindow="1" yWindow="1" windowWidth="1264" windowHeight="819" activeSheetId="10" showFormulaBar="0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18" l="1"/>
  <c r="P4" i="10"/>
  <c r="L4" i="18"/>
  <c r="T3" i="18"/>
  <c r="Q3" i="18"/>
  <c r="T3" i="10"/>
  <c r="L4" i="10"/>
  <c r="Q3" i="10"/>
  <c r="O34" i="10" l="1"/>
  <c r="O35" i="10"/>
  <c r="B34" i="10"/>
  <c r="O9" i="18"/>
  <c r="O9" i="10"/>
  <c r="B9" i="10"/>
  <c r="M155" i="10"/>
  <c r="M154" i="10"/>
  <c r="M21" i="6" s="1"/>
  <c r="M153" i="10"/>
  <c r="M152" i="10"/>
  <c r="M19" i="6"/>
  <c r="L155" i="10"/>
  <c r="L154" i="10"/>
  <c r="L21" i="6" s="1"/>
  <c r="L153" i="10"/>
  <c r="L20" i="6" s="1"/>
  <c r="L152" i="10"/>
  <c r="L149" i="10"/>
  <c r="L10" i="6" s="1"/>
  <c r="M155" i="18"/>
  <c r="M154" i="18"/>
  <c r="M153" i="18"/>
  <c r="M152" i="18"/>
  <c r="M150" i="18"/>
  <c r="L155" i="18"/>
  <c r="L32" i="6" s="1"/>
  <c r="L16" i="6" s="1"/>
  <c r="L154" i="18"/>
  <c r="L31" i="6" s="1"/>
  <c r="L15" i="6" s="1"/>
  <c r="L153" i="18"/>
  <c r="L30" i="6" s="1"/>
  <c r="L14" i="6" s="1"/>
  <c r="L152" i="18"/>
  <c r="L29" i="6" s="1"/>
  <c r="L13" i="6" s="1"/>
  <c r="L148" i="18"/>
  <c r="L23" i="6" s="1"/>
  <c r="B35" i="10"/>
  <c r="B36" i="10"/>
  <c r="B37" i="10"/>
  <c r="O36" i="10"/>
  <c r="O37" i="10"/>
  <c r="N66" i="10"/>
  <c r="N67" i="10"/>
  <c r="V67" i="10" s="1"/>
  <c r="N68" i="10"/>
  <c r="N69" i="10"/>
  <c r="N70" i="10"/>
  <c r="L71" i="10"/>
  <c r="M71" i="10"/>
  <c r="AP30" i="18"/>
  <c r="AP31" i="18"/>
  <c r="AP32" i="18"/>
  <c r="AP29" i="18"/>
  <c r="AP25" i="18"/>
  <c r="AP26" i="18"/>
  <c r="AP27" i="18"/>
  <c r="AP24" i="18"/>
  <c r="AP20" i="18"/>
  <c r="AP21" i="18"/>
  <c r="AP22" i="18"/>
  <c r="AP19" i="18"/>
  <c r="AP15" i="18"/>
  <c r="AP16" i="18"/>
  <c r="AP17" i="18"/>
  <c r="AP14" i="18"/>
  <c r="AM32" i="18"/>
  <c r="AM31" i="18"/>
  <c r="AM30" i="18"/>
  <c r="AM29" i="18"/>
  <c r="AM27" i="18"/>
  <c r="AM26" i="18"/>
  <c r="AM25" i="18"/>
  <c r="AM24" i="18"/>
  <c r="AM22" i="18"/>
  <c r="AM21" i="18"/>
  <c r="AM20" i="18"/>
  <c r="AM19" i="18"/>
  <c r="AM15" i="18"/>
  <c r="AM16" i="18"/>
  <c r="AM17" i="18"/>
  <c r="AM14" i="18"/>
  <c r="M32" i="6"/>
  <c r="M16" i="6" s="1"/>
  <c r="G155" i="18"/>
  <c r="G32" i="6" s="1"/>
  <c r="G16" i="6" s="1"/>
  <c r="D155" i="18"/>
  <c r="D32" i="6" s="1"/>
  <c r="D16" i="6" s="1"/>
  <c r="G154" i="18"/>
  <c r="D154" i="18"/>
  <c r="D31" i="6" s="1"/>
  <c r="D15" i="6" s="1"/>
  <c r="G153" i="18"/>
  <c r="D153" i="18"/>
  <c r="D30" i="6" s="1"/>
  <c r="D14" i="6" s="1"/>
  <c r="G152" i="18"/>
  <c r="G29" i="6"/>
  <c r="G13" i="6" s="1"/>
  <c r="D152" i="18"/>
  <c r="D29" i="6" s="1"/>
  <c r="D13" i="6" s="1"/>
  <c r="M151" i="18"/>
  <c r="L151" i="18"/>
  <c r="L26" i="6" s="1"/>
  <c r="G151" i="18"/>
  <c r="G26" i="6" s="1"/>
  <c r="D151" i="18"/>
  <c r="D26" i="6" s="1"/>
  <c r="M25" i="6"/>
  <c r="L150" i="18"/>
  <c r="L25" i="6" s="1"/>
  <c r="G150" i="18"/>
  <c r="G25" i="6" s="1"/>
  <c r="D150" i="18"/>
  <c r="D25" i="6" s="1"/>
  <c r="M149" i="18"/>
  <c r="L149" i="18"/>
  <c r="L24" i="6" s="1"/>
  <c r="G149" i="18"/>
  <c r="G24" i="6" s="1"/>
  <c r="D149" i="18"/>
  <c r="D24" i="6" s="1"/>
  <c r="M148" i="18"/>
  <c r="M23" i="6"/>
  <c r="G148" i="18"/>
  <c r="G23" i="6" s="1"/>
  <c r="D148" i="18"/>
  <c r="D23" i="6" s="1"/>
  <c r="B26" i="18"/>
  <c r="AP16" i="10"/>
  <c r="AM28" i="18" s="1"/>
  <c r="P16" i="18" s="1"/>
  <c r="AP15" i="10"/>
  <c r="AM23" i="18" s="1"/>
  <c r="P15" i="18" s="1"/>
  <c r="AP14" i="10"/>
  <c r="AM18" i="18" s="1"/>
  <c r="P14" i="18" s="1"/>
  <c r="O35" i="18" s="1"/>
  <c r="AP13" i="10"/>
  <c r="AM13" i="18" s="1"/>
  <c r="P13" i="18" s="1"/>
  <c r="AL16" i="10"/>
  <c r="AP28" i="18" s="1"/>
  <c r="C16" i="18" s="1"/>
  <c r="AL15" i="10"/>
  <c r="AP23" i="18" s="1"/>
  <c r="C15" i="18" s="1"/>
  <c r="AL14" i="10"/>
  <c r="AP18" i="18" s="1"/>
  <c r="C14" i="18" s="1"/>
  <c r="C23" i="18" s="1"/>
  <c r="AL13" i="10"/>
  <c r="AP13" i="18" s="1"/>
  <c r="C13" i="18" s="1"/>
  <c r="I14" i="6"/>
  <c r="I15" i="6"/>
  <c r="I16" i="6"/>
  <c r="I13" i="6"/>
  <c r="M101" i="18"/>
  <c r="H5" i="9"/>
  <c r="L136" i="10"/>
  <c r="S136" i="10"/>
  <c r="U139" i="10" s="1"/>
  <c r="B9" i="18"/>
  <c r="A18" i="18" s="1"/>
  <c r="C136" i="18"/>
  <c r="H136" i="18"/>
  <c r="AR17" i="18"/>
  <c r="AR16" i="18"/>
  <c r="AR15" i="18"/>
  <c r="AR14" i="18"/>
  <c r="AR13" i="18"/>
  <c r="AR12" i="18"/>
  <c r="AR11" i="18"/>
  <c r="AR10" i="18"/>
  <c r="AR11" i="10"/>
  <c r="AR12" i="10"/>
  <c r="AR13" i="10"/>
  <c r="AR14" i="10"/>
  <c r="AR15" i="10"/>
  <c r="AR16" i="10"/>
  <c r="AR17" i="10"/>
  <c r="AR10" i="10"/>
  <c r="AO11" i="10"/>
  <c r="AO12" i="10"/>
  <c r="AO13" i="10"/>
  <c r="AO14" i="10"/>
  <c r="AO15" i="10"/>
  <c r="AO16" i="10"/>
  <c r="AO17" i="10"/>
  <c r="AO10" i="10"/>
  <c r="B4" i="6"/>
  <c r="B25" i="6" s="1"/>
  <c r="B3" i="6"/>
  <c r="B11" i="6" s="1"/>
  <c r="AB143" i="10"/>
  <c r="AB142" i="10"/>
  <c r="AB141" i="10"/>
  <c r="AB140" i="10"/>
  <c r="AB139" i="10"/>
  <c r="AB130" i="10"/>
  <c r="AB129" i="10"/>
  <c r="AB128" i="10"/>
  <c r="AB127" i="10"/>
  <c r="AB126" i="10"/>
  <c r="AB120" i="10"/>
  <c r="AB119" i="10"/>
  <c r="AB118" i="10"/>
  <c r="AB117" i="10"/>
  <c r="AB116" i="10"/>
  <c r="AB110" i="10"/>
  <c r="AB109" i="10"/>
  <c r="AB108" i="10"/>
  <c r="AB107" i="10"/>
  <c r="AB106" i="10"/>
  <c r="AB100" i="10"/>
  <c r="AB99" i="10"/>
  <c r="AB98" i="10"/>
  <c r="AB97" i="10"/>
  <c r="AB96" i="10"/>
  <c r="AB90" i="10"/>
  <c r="AB89" i="10"/>
  <c r="AB88" i="10"/>
  <c r="AB87" i="10"/>
  <c r="AB86" i="10"/>
  <c r="AB80" i="10"/>
  <c r="AB79" i="10"/>
  <c r="AB78" i="10"/>
  <c r="AB77" i="10"/>
  <c r="AB76" i="10"/>
  <c r="AB70" i="10"/>
  <c r="AB69" i="10"/>
  <c r="AB68" i="10"/>
  <c r="AB67" i="10"/>
  <c r="AB66" i="10"/>
  <c r="AB60" i="10"/>
  <c r="AB59" i="10"/>
  <c r="AB58" i="10"/>
  <c r="AB57" i="10"/>
  <c r="AB56" i="10"/>
  <c r="AB56" i="18"/>
  <c r="AB143" i="18"/>
  <c r="AB142" i="18"/>
  <c r="AB141" i="18"/>
  <c r="AB140" i="18"/>
  <c r="AB139" i="18"/>
  <c r="AB130" i="18"/>
  <c r="AB129" i="18"/>
  <c r="AB128" i="18"/>
  <c r="AB127" i="18"/>
  <c r="AB126" i="18"/>
  <c r="AB120" i="18"/>
  <c r="AB119" i="18"/>
  <c r="AB118" i="18"/>
  <c r="AB117" i="18"/>
  <c r="AB116" i="18"/>
  <c r="AB110" i="18"/>
  <c r="AB109" i="18"/>
  <c r="AB108" i="18"/>
  <c r="AB107" i="18"/>
  <c r="AB106" i="18"/>
  <c r="AB100" i="18"/>
  <c r="AB99" i="18"/>
  <c r="AB98" i="18"/>
  <c r="AB97" i="18"/>
  <c r="AB96" i="18"/>
  <c r="AB90" i="18"/>
  <c r="AB89" i="18"/>
  <c r="AB88" i="18"/>
  <c r="AB87" i="18"/>
  <c r="AB86" i="18"/>
  <c r="AB80" i="18"/>
  <c r="AB79" i="18"/>
  <c r="AB78" i="18"/>
  <c r="AB77" i="18"/>
  <c r="AB76" i="18"/>
  <c r="AB70" i="18"/>
  <c r="AB69" i="18"/>
  <c r="AB68" i="18"/>
  <c r="AB67" i="18"/>
  <c r="AB66" i="18"/>
  <c r="AB60" i="18"/>
  <c r="AB59" i="18"/>
  <c r="AB58" i="18"/>
  <c r="AB57" i="18"/>
  <c r="I142" i="10"/>
  <c r="I143" i="10"/>
  <c r="C25" i="10"/>
  <c r="C113" i="10" s="1"/>
  <c r="H113" i="10" s="1"/>
  <c r="C24" i="10"/>
  <c r="C103" i="10" s="1"/>
  <c r="H103" i="10" s="1"/>
  <c r="C23" i="10"/>
  <c r="C93" i="10" s="1"/>
  <c r="H93" i="10" s="1"/>
  <c r="C21" i="10"/>
  <c r="C73" i="10"/>
  <c r="H73" i="10" s="1"/>
  <c r="C20" i="10"/>
  <c r="C63" i="10" s="1"/>
  <c r="H63" i="10" s="1"/>
  <c r="C19" i="10"/>
  <c r="C53" i="10" s="1"/>
  <c r="H53" i="10" s="1"/>
  <c r="C22" i="10"/>
  <c r="C83" i="10"/>
  <c r="H83" i="10" s="1"/>
  <c r="J26" i="10"/>
  <c r="L123" i="10" s="1"/>
  <c r="S123" i="10" s="1"/>
  <c r="C26" i="10"/>
  <c r="C123" i="10" s="1"/>
  <c r="H123" i="10" s="1"/>
  <c r="AI27" i="18"/>
  <c r="X27" i="18"/>
  <c r="AH27" i="18"/>
  <c r="AC27" i="18"/>
  <c r="M144" i="18"/>
  <c r="L144" i="18"/>
  <c r="D144" i="18"/>
  <c r="C144" i="18"/>
  <c r="N143" i="18"/>
  <c r="AF27" i="18"/>
  <c r="E143" i="18"/>
  <c r="V143" i="18"/>
  <c r="N142" i="18"/>
  <c r="AE27" i="18"/>
  <c r="E142" i="18"/>
  <c r="Y27" i="18"/>
  <c r="N141" i="18"/>
  <c r="AD27" i="18"/>
  <c r="E141" i="18"/>
  <c r="N140" i="18"/>
  <c r="E140" i="18"/>
  <c r="N139" i="18"/>
  <c r="AB27" i="18"/>
  <c r="E139" i="18"/>
  <c r="M144" i="10"/>
  <c r="L144" i="10"/>
  <c r="D144" i="10"/>
  <c r="C144" i="10"/>
  <c r="N143" i="10"/>
  <c r="E143" i="10"/>
  <c r="V143" i="10"/>
  <c r="N142" i="10"/>
  <c r="E142" i="10"/>
  <c r="N141" i="10"/>
  <c r="E141" i="10"/>
  <c r="V141" i="10"/>
  <c r="N140" i="10"/>
  <c r="E140" i="10"/>
  <c r="V140" i="10"/>
  <c r="N139" i="10"/>
  <c r="E139" i="10"/>
  <c r="AI26" i="18"/>
  <c r="AH26" i="18"/>
  <c r="AI25" i="18"/>
  <c r="AH25" i="18"/>
  <c r="AI24" i="18"/>
  <c r="AH24" i="18"/>
  <c r="AI23" i="18"/>
  <c r="V23" i="18"/>
  <c r="AH23" i="18"/>
  <c r="AI22" i="18"/>
  <c r="AH22" i="18"/>
  <c r="AI21" i="18"/>
  <c r="AH21" i="18"/>
  <c r="AI20" i="18"/>
  <c r="AH20" i="18"/>
  <c r="AI19" i="18"/>
  <c r="AH19" i="18"/>
  <c r="AH26" i="10"/>
  <c r="AI26" i="10"/>
  <c r="AH25" i="10"/>
  <c r="AI25" i="10"/>
  <c r="AH24" i="10"/>
  <c r="AI24" i="10"/>
  <c r="AH23" i="10"/>
  <c r="AI23" i="10"/>
  <c r="AH22" i="10"/>
  <c r="AI22" i="10"/>
  <c r="AH21" i="10"/>
  <c r="AI21" i="10"/>
  <c r="AH20" i="10"/>
  <c r="AI20" i="10"/>
  <c r="AH19" i="10"/>
  <c r="AI19" i="10"/>
  <c r="M101" i="10"/>
  <c r="F152" i="10"/>
  <c r="F19" i="6" s="1"/>
  <c r="M26" i="6"/>
  <c r="M131" i="18"/>
  <c r="L131" i="18"/>
  <c r="D131" i="18"/>
  <c r="C131" i="18"/>
  <c r="N130" i="18"/>
  <c r="AF26" i="18"/>
  <c r="E130" i="18"/>
  <c r="Z26" i="18"/>
  <c r="N129" i="18"/>
  <c r="AE26" i="18" s="1"/>
  <c r="E129" i="18"/>
  <c r="Y26" i="18" s="1"/>
  <c r="N128" i="18"/>
  <c r="E128" i="18"/>
  <c r="X26" i="18" s="1"/>
  <c r="N127" i="18"/>
  <c r="AC26" i="18" s="1"/>
  <c r="E127" i="18"/>
  <c r="W26" i="18"/>
  <c r="N126" i="18"/>
  <c r="E126" i="18"/>
  <c r="M121" i="18"/>
  <c r="L121" i="18"/>
  <c r="D121" i="18"/>
  <c r="C121" i="18"/>
  <c r="N120" i="18"/>
  <c r="AF25" i="18"/>
  <c r="E120" i="18"/>
  <c r="N119" i="18"/>
  <c r="AE25" i="18" s="1"/>
  <c r="E119" i="18"/>
  <c r="Y25" i="18" s="1"/>
  <c r="N118" i="18"/>
  <c r="AD25" i="18" s="1"/>
  <c r="E118" i="18"/>
  <c r="N117" i="18"/>
  <c r="AC25" i="18" s="1"/>
  <c r="E117" i="18"/>
  <c r="N116" i="18"/>
  <c r="E116" i="18"/>
  <c r="M111" i="18"/>
  <c r="F155" i="18" s="1"/>
  <c r="F32" i="6" s="1"/>
  <c r="F16" i="6" s="1"/>
  <c r="L111" i="18"/>
  <c r="D111" i="18"/>
  <c r="F148" i="18" s="1"/>
  <c r="F23" i="6" s="1"/>
  <c r="C111" i="18"/>
  <c r="N110" i="18"/>
  <c r="AF24" i="18"/>
  <c r="E110" i="18"/>
  <c r="Z24" i="18"/>
  <c r="N109" i="18"/>
  <c r="AE24" i="18" s="1"/>
  <c r="E109" i="18"/>
  <c r="Y24" i="18" s="1"/>
  <c r="N108" i="18"/>
  <c r="AD24" i="18" s="1"/>
  <c r="E108" i="18"/>
  <c r="X24" i="18" s="1"/>
  <c r="N107" i="18"/>
  <c r="AC24" i="18" s="1"/>
  <c r="E107" i="18"/>
  <c r="W24" i="18" s="1"/>
  <c r="N106" i="18"/>
  <c r="E106" i="18"/>
  <c r="L101" i="18"/>
  <c r="D101" i="18"/>
  <c r="C101" i="18"/>
  <c r="N100" i="18"/>
  <c r="AF23" i="18"/>
  <c r="E100" i="18"/>
  <c r="Z23" i="18"/>
  <c r="V100" i="18"/>
  <c r="N99" i="18"/>
  <c r="E99" i="18"/>
  <c r="V99" i="18"/>
  <c r="N98" i="18"/>
  <c r="AD23" i="18" s="1"/>
  <c r="E98" i="18"/>
  <c r="X23" i="18"/>
  <c r="N97" i="18"/>
  <c r="V97" i="18" s="1"/>
  <c r="E97" i="18"/>
  <c r="N96" i="18"/>
  <c r="AB23" i="18"/>
  <c r="V96" i="18"/>
  <c r="E96" i="18"/>
  <c r="H23" i="18" s="1"/>
  <c r="M91" i="18"/>
  <c r="L91" i="18"/>
  <c r="D91" i="18"/>
  <c r="C91" i="18"/>
  <c r="N90" i="18"/>
  <c r="AF22" i="18" s="1"/>
  <c r="E90" i="18"/>
  <c r="N89" i="18"/>
  <c r="AE22" i="18" s="1"/>
  <c r="E89" i="18"/>
  <c r="Y22" i="18"/>
  <c r="N88" i="18"/>
  <c r="E88" i="18"/>
  <c r="X22" i="18"/>
  <c r="N87" i="18"/>
  <c r="AC22" i="18" s="1"/>
  <c r="E87" i="18"/>
  <c r="W22" i="18" s="1"/>
  <c r="N86" i="18"/>
  <c r="E86" i="18"/>
  <c r="M81" i="18"/>
  <c r="L81" i="18"/>
  <c r="D81" i="18"/>
  <c r="C81" i="18"/>
  <c r="N80" i="18"/>
  <c r="E80" i="18"/>
  <c r="Z21" i="18"/>
  <c r="N79" i="18"/>
  <c r="AE21" i="18" s="1"/>
  <c r="E79" i="18"/>
  <c r="Y21" i="18"/>
  <c r="N78" i="18"/>
  <c r="E78" i="18"/>
  <c r="N77" i="18"/>
  <c r="AC21" i="18" s="1"/>
  <c r="E77" i="18"/>
  <c r="N76" i="18"/>
  <c r="E76" i="18"/>
  <c r="M71" i="18"/>
  <c r="L71" i="18"/>
  <c r="D71" i="18"/>
  <c r="C71" i="18"/>
  <c r="N70" i="18"/>
  <c r="AF20" i="18"/>
  <c r="E70" i="18"/>
  <c r="V70" i="18"/>
  <c r="Z20" i="18"/>
  <c r="N69" i="18"/>
  <c r="AE20" i="18"/>
  <c r="E69" i="18"/>
  <c r="Y20" i="18"/>
  <c r="N68" i="18"/>
  <c r="E68" i="18"/>
  <c r="X20" i="18" s="1"/>
  <c r="N67" i="18"/>
  <c r="E67" i="18"/>
  <c r="V67" i="18" s="1"/>
  <c r="N66" i="18"/>
  <c r="E66" i="18"/>
  <c r="M61" i="18"/>
  <c r="F154" i="18" s="1"/>
  <c r="F31" i="6" s="1"/>
  <c r="F15" i="6" s="1"/>
  <c r="L61" i="18"/>
  <c r="D61" i="18"/>
  <c r="C61" i="18"/>
  <c r="N60" i="18"/>
  <c r="E60" i="18"/>
  <c r="Z19" i="18"/>
  <c r="N59" i="18"/>
  <c r="AE19" i="18"/>
  <c r="E59" i="18"/>
  <c r="Y19" i="18"/>
  <c r="N58" i="18"/>
  <c r="E58" i="18"/>
  <c r="X19" i="18"/>
  <c r="N57" i="18"/>
  <c r="AC19" i="18"/>
  <c r="E57" i="18"/>
  <c r="V57" i="18" s="1"/>
  <c r="N56" i="18"/>
  <c r="P19" i="18" s="1"/>
  <c r="AB19" i="18"/>
  <c r="E56" i="18"/>
  <c r="AE23" i="18"/>
  <c r="D101" i="10"/>
  <c r="F148" i="10" s="1"/>
  <c r="F9" i="6" s="1"/>
  <c r="M131" i="10"/>
  <c r="D131" i="10"/>
  <c r="M121" i="10"/>
  <c r="D121" i="10"/>
  <c r="M111" i="10"/>
  <c r="F153" i="10" s="1"/>
  <c r="F20" i="6" s="1"/>
  <c r="D111" i="10"/>
  <c r="M91" i="10"/>
  <c r="D91" i="10"/>
  <c r="M81" i="10"/>
  <c r="F155" i="10"/>
  <c r="F22" i="6" s="1"/>
  <c r="D81" i="10"/>
  <c r="F150" i="10" s="1"/>
  <c r="F11" i="6" s="1"/>
  <c r="D71" i="10"/>
  <c r="M61" i="10"/>
  <c r="D61" i="10"/>
  <c r="G149" i="10"/>
  <c r="G10" i="6"/>
  <c r="G150" i="10"/>
  <c r="G11" i="6" s="1"/>
  <c r="G151" i="10"/>
  <c r="G12" i="6" s="1"/>
  <c r="G152" i="10"/>
  <c r="G19" i="6" s="1"/>
  <c r="E56" i="10"/>
  <c r="E76" i="10"/>
  <c r="E66" i="10"/>
  <c r="N130" i="10"/>
  <c r="AF26" i="10" s="1"/>
  <c r="N129" i="10"/>
  <c r="AE26" i="10" s="1"/>
  <c r="N128" i="10"/>
  <c r="AD26" i="10" s="1"/>
  <c r="N127" i="10"/>
  <c r="AC26" i="10" s="1"/>
  <c r="N126" i="10"/>
  <c r="L131" i="10"/>
  <c r="C131" i="10"/>
  <c r="L121" i="10"/>
  <c r="C121" i="10"/>
  <c r="L111" i="10"/>
  <c r="C111" i="10"/>
  <c r="L101" i="10"/>
  <c r="C101" i="10"/>
  <c r="L91" i="10"/>
  <c r="C91" i="10"/>
  <c r="L81" i="10"/>
  <c r="C81" i="10"/>
  <c r="C71" i="10"/>
  <c r="E149" i="10" s="1"/>
  <c r="L61" i="10"/>
  <c r="C61" i="10"/>
  <c r="D149" i="10"/>
  <c r="D10" i="6" s="1"/>
  <c r="M151" i="10"/>
  <c r="M12" i="6"/>
  <c r="L151" i="10"/>
  <c r="L12" i="6" s="1"/>
  <c r="D151" i="10"/>
  <c r="D12" i="6" s="1"/>
  <c r="M150" i="10"/>
  <c r="M11" i="6"/>
  <c r="L150" i="10"/>
  <c r="L11" i="6" s="1"/>
  <c r="D150" i="10"/>
  <c r="D11" i="6" s="1"/>
  <c r="M149" i="10"/>
  <c r="M10" i="6"/>
  <c r="M148" i="10"/>
  <c r="M9" i="6"/>
  <c r="L148" i="10"/>
  <c r="L9" i="6" s="1"/>
  <c r="G148" i="10"/>
  <c r="G9" i="6" s="1"/>
  <c r="D148" i="10"/>
  <c r="D9" i="6" s="1"/>
  <c r="A153" i="10"/>
  <c r="A20" i="6" s="1"/>
  <c r="C20" i="6" s="1"/>
  <c r="A154" i="10"/>
  <c r="A21" i="6" s="1"/>
  <c r="C21" i="6" s="1"/>
  <c r="A155" i="10"/>
  <c r="A22" i="6" s="1"/>
  <c r="C22" i="6" s="1"/>
  <c r="A152" i="10"/>
  <c r="A19" i="6" s="1"/>
  <c r="A149" i="10"/>
  <c r="A10" i="6" s="1"/>
  <c r="A150" i="10"/>
  <c r="A11" i="6"/>
  <c r="C11" i="6" s="1"/>
  <c r="A151" i="10"/>
  <c r="A12" i="6"/>
  <c r="C12" i="6" s="1"/>
  <c r="A148" i="10"/>
  <c r="A9" i="6" s="1"/>
  <c r="C9" i="6" s="1"/>
  <c r="E130" i="10"/>
  <c r="Z26" i="10" s="1"/>
  <c r="E129" i="10"/>
  <c r="Y26" i="10"/>
  <c r="E128" i="10"/>
  <c r="V128" i="10"/>
  <c r="E127" i="10"/>
  <c r="W26" i="10" s="1"/>
  <c r="E126" i="10"/>
  <c r="N120" i="10"/>
  <c r="AF25" i="10"/>
  <c r="E120" i="10"/>
  <c r="Z25" i="10"/>
  <c r="N119" i="10"/>
  <c r="AE25" i="10"/>
  <c r="E119" i="10"/>
  <c r="Y25" i="10"/>
  <c r="N118" i="10"/>
  <c r="AD25" i="10" s="1"/>
  <c r="E118" i="10"/>
  <c r="N117" i="10"/>
  <c r="AC25" i="10" s="1"/>
  <c r="E117" i="10"/>
  <c r="W25" i="10" s="1"/>
  <c r="N116" i="10"/>
  <c r="AB25" i="10"/>
  <c r="E116" i="10"/>
  <c r="N110" i="10"/>
  <c r="AF24" i="10"/>
  <c r="E110" i="10"/>
  <c r="N109" i="10"/>
  <c r="AE24" i="10"/>
  <c r="E109" i="10"/>
  <c r="Y24" i="10"/>
  <c r="N108" i="10"/>
  <c r="V108" i="10" s="1"/>
  <c r="AD24" i="10"/>
  <c r="E108" i="10"/>
  <c r="X24" i="10" s="1"/>
  <c r="N107" i="10"/>
  <c r="AC24" i="10" s="1"/>
  <c r="E107" i="10"/>
  <c r="W24" i="10" s="1"/>
  <c r="N106" i="10"/>
  <c r="E106" i="10"/>
  <c r="N100" i="10"/>
  <c r="AF23" i="10"/>
  <c r="E100" i="10"/>
  <c r="Z23" i="10"/>
  <c r="N99" i="10"/>
  <c r="AE23" i="10"/>
  <c r="E99" i="10"/>
  <c r="N98" i="10"/>
  <c r="AD23" i="10"/>
  <c r="E98" i="10"/>
  <c r="X23" i="10" s="1"/>
  <c r="N97" i="10"/>
  <c r="AC23" i="10" s="1"/>
  <c r="E97" i="10"/>
  <c r="W23" i="10" s="1"/>
  <c r="N96" i="10"/>
  <c r="AB23" i="10"/>
  <c r="E96" i="10"/>
  <c r="N90" i="10"/>
  <c r="AF22" i="10"/>
  <c r="E90" i="10"/>
  <c r="Z22" i="10"/>
  <c r="N89" i="10"/>
  <c r="E89" i="10"/>
  <c r="N88" i="10"/>
  <c r="AD22" i="10"/>
  <c r="E88" i="10"/>
  <c r="N87" i="10"/>
  <c r="AC22" i="10" s="1"/>
  <c r="E87" i="10"/>
  <c r="V87" i="10" s="1"/>
  <c r="N86" i="10"/>
  <c r="E86" i="10"/>
  <c r="N80" i="10"/>
  <c r="AF21" i="10"/>
  <c r="E80" i="10"/>
  <c r="V80" i="10"/>
  <c r="N79" i="10"/>
  <c r="AE21" i="10"/>
  <c r="E79" i="10"/>
  <c r="Y21" i="10"/>
  <c r="N78" i="10"/>
  <c r="AD21" i="10" s="1"/>
  <c r="E78" i="10"/>
  <c r="X21" i="10"/>
  <c r="N77" i="10"/>
  <c r="AC21" i="10" s="1"/>
  <c r="E77" i="10"/>
  <c r="W21" i="10" s="1"/>
  <c r="N76" i="10"/>
  <c r="AF20" i="10"/>
  <c r="E70" i="10"/>
  <c r="V70" i="10"/>
  <c r="AE20" i="10"/>
  <c r="E69" i="10"/>
  <c r="Y20" i="10"/>
  <c r="AD20" i="10"/>
  <c r="E68" i="10"/>
  <c r="V68" i="10"/>
  <c r="E67" i="10"/>
  <c r="W20" i="10"/>
  <c r="N57" i="10"/>
  <c r="AC19" i="10" s="1"/>
  <c r="N58" i="10"/>
  <c r="AD19" i="10" s="1"/>
  <c r="N59" i="10"/>
  <c r="V59" i="10" s="1"/>
  <c r="AE19" i="10"/>
  <c r="N60" i="10"/>
  <c r="AF19" i="10"/>
  <c r="N56" i="10"/>
  <c r="E57" i="10"/>
  <c r="W19" i="10" s="1"/>
  <c r="E58" i="10"/>
  <c r="E59" i="10"/>
  <c r="Y19" i="10" s="1"/>
  <c r="E60" i="10"/>
  <c r="Z19" i="10"/>
  <c r="V141" i="18"/>
  <c r="V142" i="18"/>
  <c r="V24" i="18"/>
  <c r="B23" i="10"/>
  <c r="A24" i="10"/>
  <c r="B19" i="10"/>
  <c r="A19" i="10"/>
  <c r="B24" i="18"/>
  <c r="M31" i="6"/>
  <c r="M15" i="6" s="1"/>
  <c r="B21" i="18"/>
  <c r="B20" i="18"/>
  <c r="G31" i="6"/>
  <c r="G15" i="6" s="1"/>
  <c r="A19" i="18"/>
  <c r="A22" i="18"/>
  <c r="G30" i="6"/>
  <c r="G14" i="6" s="1"/>
  <c r="M29" i="6"/>
  <c r="M13" i="6" s="1"/>
  <c r="A24" i="18"/>
  <c r="L136" i="18"/>
  <c r="S136" i="18"/>
  <c r="U139" i="18"/>
  <c r="B21" i="10"/>
  <c r="B26" i="10"/>
  <c r="A20" i="10"/>
  <c r="A22" i="10"/>
  <c r="G154" i="10"/>
  <c r="G21" i="6" s="1"/>
  <c r="J20" i="10"/>
  <c r="L63" i="10" s="1"/>
  <c r="S63" i="10" s="1"/>
  <c r="J21" i="10"/>
  <c r="J25" i="10"/>
  <c r="B20" i="10"/>
  <c r="B22" i="10"/>
  <c r="B25" i="10"/>
  <c r="B24" i="10"/>
  <c r="A21" i="10"/>
  <c r="A23" i="10"/>
  <c r="A25" i="10"/>
  <c r="A26" i="10"/>
  <c r="D152" i="10"/>
  <c r="D19" i="6" s="1"/>
  <c r="D153" i="10"/>
  <c r="D20" i="6" s="1"/>
  <c r="D154" i="10"/>
  <c r="D21" i="6" s="1"/>
  <c r="D155" i="10"/>
  <c r="D22" i="6" s="1"/>
  <c r="M20" i="6"/>
  <c r="M22" i="6"/>
  <c r="G155" i="10"/>
  <c r="G22" i="6" s="1"/>
  <c r="G153" i="10"/>
  <c r="G20" i="6" s="1"/>
  <c r="J22" i="10"/>
  <c r="L83" i="10" s="1"/>
  <c r="S83" i="10" s="1"/>
  <c r="J19" i="10"/>
  <c r="L53" i="10" s="1"/>
  <c r="S53" i="10" s="1"/>
  <c r="J23" i="10"/>
  <c r="J24" i="10"/>
  <c r="L103" i="10" s="1"/>
  <c r="S103" i="10" s="1"/>
  <c r="B23" i="18"/>
  <c r="B19" i="18"/>
  <c r="B22" i="18"/>
  <c r="A23" i="18"/>
  <c r="A21" i="18"/>
  <c r="A25" i="18"/>
  <c r="A20" i="18"/>
  <c r="A26" i="18"/>
  <c r="B25" i="18"/>
  <c r="Z22" i="18"/>
  <c r="C136" i="10"/>
  <c r="H136" i="10"/>
  <c r="Z20" i="10"/>
  <c r="Z21" i="10"/>
  <c r="T17" i="10"/>
  <c r="V100" i="10"/>
  <c r="R17" i="10"/>
  <c r="W25" i="18"/>
  <c r="V142" i="10"/>
  <c r="V69" i="18"/>
  <c r="V25" i="10"/>
  <c r="AD20" i="18"/>
  <c r="AD22" i="18"/>
  <c r="V140" i="18"/>
  <c r="M24" i="6"/>
  <c r="V24" i="10"/>
  <c r="AF19" i="18"/>
  <c r="V120" i="18"/>
  <c r="Z25" i="18"/>
  <c r="V76" i="18"/>
  <c r="AF21" i="18"/>
  <c r="V80" i="18"/>
  <c r="Y23" i="18"/>
  <c r="X26" i="10"/>
  <c r="V90" i="10"/>
  <c r="W21" i="18"/>
  <c r="H139" i="18"/>
  <c r="V60" i="10"/>
  <c r="V120" i="10"/>
  <c r="AB21" i="10"/>
  <c r="V139" i="18"/>
  <c r="Z27" i="18"/>
  <c r="V26" i="10"/>
  <c r="W23" i="18"/>
  <c r="V25" i="18"/>
  <c r="V60" i="18"/>
  <c r="V130" i="18"/>
  <c r="V58" i="18"/>
  <c r="AD26" i="18"/>
  <c r="V139" i="10"/>
  <c r="AB26" i="18"/>
  <c r="V117" i="18"/>
  <c r="V116" i="18"/>
  <c r="V108" i="18"/>
  <c r="V20" i="18"/>
  <c r="AD19" i="18"/>
  <c r="V99" i="10"/>
  <c r="V96" i="10"/>
  <c r="V98" i="18"/>
  <c r="V89" i="18"/>
  <c r="AD21" i="18"/>
  <c r="AC20" i="18"/>
  <c r="V59" i="18"/>
  <c r="V129" i="10"/>
  <c r="V130" i="10"/>
  <c r="V126" i="10"/>
  <c r="V119" i="10"/>
  <c r="V109" i="10"/>
  <c r="AB22" i="10"/>
  <c r="X22" i="10"/>
  <c r="AJ26" i="10"/>
  <c r="H139" i="10"/>
  <c r="V79" i="10"/>
  <c r="Y23" i="10"/>
  <c r="V69" i="10"/>
  <c r="X20" i="10"/>
  <c r="AB19" i="10"/>
  <c r="B13" i="6"/>
  <c r="M30" i="6"/>
  <c r="M14" i="6"/>
  <c r="V129" i="18" l="1"/>
  <c r="E150" i="18"/>
  <c r="E25" i="6" s="1"/>
  <c r="V128" i="18"/>
  <c r="H26" i="18"/>
  <c r="V119" i="18"/>
  <c r="P25" i="18"/>
  <c r="V118" i="18"/>
  <c r="F151" i="18"/>
  <c r="F26" i="6" s="1"/>
  <c r="X25" i="18"/>
  <c r="V127" i="18"/>
  <c r="F153" i="18"/>
  <c r="F30" i="6" s="1"/>
  <c r="F14" i="6" s="1"/>
  <c r="E153" i="18"/>
  <c r="E30" i="6" s="1"/>
  <c r="E14" i="6" s="1"/>
  <c r="P26" i="18"/>
  <c r="H25" i="18"/>
  <c r="F152" i="18"/>
  <c r="F29" i="6" s="1"/>
  <c r="F13" i="6" s="1"/>
  <c r="AB25" i="18"/>
  <c r="E152" i="18"/>
  <c r="E29" i="6" s="1"/>
  <c r="E13" i="6" s="1"/>
  <c r="E151" i="18"/>
  <c r="E26" i="6" s="1"/>
  <c r="F150" i="18"/>
  <c r="F25" i="6" s="1"/>
  <c r="V126" i="18"/>
  <c r="V26" i="18"/>
  <c r="V110" i="18"/>
  <c r="P24" i="18"/>
  <c r="V109" i="18"/>
  <c r="V107" i="18"/>
  <c r="H24" i="18"/>
  <c r="H154" i="18"/>
  <c r="H31" i="6" s="1"/>
  <c r="H15" i="6" s="1"/>
  <c r="AC23" i="18"/>
  <c r="E154" i="18"/>
  <c r="E31" i="6" s="1"/>
  <c r="E15" i="6" s="1"/>
  <c r="P23" i="18"/>
  <c r="O154" i="18"/>
  <c r="O31" i="6" s="1"/>
  <c r="O15" i="6" s="1"/>
  <c r="F149" i="18"/>
  <c r="F24" i="6" s="1"/>
  <c r="E149" i="18"/>
  <c r="E155" i="18"/>
  <c r="O155" i="18" s="1"/>
  <c r="O32" i="6" s="1"/>
  <c r="O16" i="6" s="1"/>
  <c r="AB24" i="18"/>
  <c r="V106" i="18"/>
  <c r="E148" i="18"/>
  <c r="E23" i="6" s="1"/>
  <c r="V90" i="18"/>
  <c r="V79" i="18"/>
  <c r="H150" i="18"/>
  <c r="N150" i="18" s="1"/>
  <c r="N25" i="6" s="1"/>
  <c r="V88" i="18"/>
  <c r="X21" i="18"/>
  <c r="H21" i="18"/>
  <c r="V78" i="18"/>
  <c r="P22" i="18"/>
  <c r="V87" i="18"/>
  <c r="H22" i="18"/>
  <c r="AB51" i="18"/>
  <c r="P21" i="18"/>
  <c r="V77" i="18"/>
  <c r="H153" i="18"/>
  <c r="AB22" i="18"/>
  <c r="V86" i="18"/>
  <c r="H151" i="18"/>
  <c r="V22" i="18"/>
  <c r="AB21" i="18"/>
  <c r="H152" i="18"/>
  <c r="V21" i="18"/>
  <c r="O150" i="18"/>
  <c r="O25" i="6" s="1"/>
  <c r="V68" i="18"/>
  <c r="H148" i="18"/>
  <c r="H23" i="6" s="1"/>
  <c r="W19" i="18"/>
  <c r="H19" i="18"/>
  <c r="P20" i="18"/>
  <c r="W20" i="18"/>
  <c r="H149" i="18"/>
  <c r="H24" i="6" s="1"/>
  <c r="H20" i="18"/>
  <c r="AB20" i="18"/>
  <c r="H155" i="18"/>
  <c r="V66" i="18"/>
  <c r="V19" i="18"/>
  <c r="V56" i="18"/>
  <c r="R26" i="10"/>
  <c r="F151" i="10"/>
  <c r="F12" i="6" s="1"/>
  <c r="V118" i="10"/>
  <c r="X25" i="10"/>
  <c r="R25" i="10" s="1"/>
  <c r="P26" i="10"/>
  <c r="V127" i="10"/>
  <c r="H26" i="10"/>
  <c r="E151" i="10"/>
  <c r="H154" i="10"/>
  <c r="H21" i="6" s="1"/>
  <c r="P25" i="10"/>
  <c r="H25" i="10"/>
  <c r="V117" i="10"/>
  <c r="AB26" i="10"/>
  <c r="T26" i="10" s="1"/>
  <c r="E155" i="10"/>
  <c r="E22" i="6" s="1"/>
  <c r="F154" i="10"/>
  <c r="F21" i="6" s="1"/>
  <c r="E154" i="10"/>
  <c r="E21" i="6" s="1"/>
  <c r="T25" i="10"/>
  <c r="E150" i="10"/>
  <c r="E11" i="6" s="1"/>
  <c r="V116" i="10"/>
  <c r="V110" i="10"/>
  <c r="Z24" i="10"/>
  <c r="R24" i="10"/>
  <c r="P24" i="10"/>
  <c r="F149" i="10"/>
  <c r="F10" i="6" s="1"/>
  <c r="V107" i="10"/>
  <c r="H24" i="10"/>
  <c r="AB51" i="10"/>
  <c r="V98" i="10"/>
  <c r="P23" i="10"/>
  <c r="V97" i="10"/>
  <c r="H23" i="10"/>
  <c r="V106" i="10"/>
  <c r="AB24" i="10"/>
  <c r="E153" i="10"/>
  <c r="O153" i="10" s="1"/>
  <c r="O20" i="6" s="1"/>
  <c r="E152" i="10"/>
  <c r="E19" i="6" s="1"/>
  <c r="T23" i="10"/>
  <c r="E148" i="10"/>
  <c r="E9" i="6" s="1"/>
  <c r="V23" i="10"/>
  <c r="V89" i="10"/>
  <c r="AE22" i="10"/>
  <c r="T22" i="10" s="1"/>
  <c r="H151" i="10"/>
  <c r="N151" i="10" s="1"/>
  <c r="N12" i="6" s="1"/>
  <c r="Y22" i="10"/>
  <c r="R22" i="10" s="1"/>
  <c r="V88" i="10"/>
  <c r="V78" i="10"/>
  <c r="P22" i="10"/>
  <c r="H22" i="10"/>
  <c r="W22" i="10"/>
  <c r="V77" i="10"/>
  <c r="P21" i="10"/>
  <c r="H21" i="10"/>
  <c r="O150" i="10"/>
  <c r="O11" i="6" s="1"/>
  <c r="H155" i="10"/>
  <c r="T21" i="10"/>
  <c r="H150" i="10"/>
  <c r="H11" i="6" s="1"/>
  <c r="V76" i="10"/>
  <c r="V21" i="10"/>
  <c r="R21" i="10" s="1"/>
  <c r="E12" i="6"/>
  <c r="V22" i="10"/>
  <c r="V86" i="10"/>
  <c r="V58" i="10"/>
  <c r="P19" i="10"/>
  <c r="AC20" i="10"/>
  <c r="T20" i="10" s="1"/>
  <c r="P20" i="10"/>
  <c r="H20" i="10"/>
  <c r="H149" i="10"/>
  <c r="N149" i="10" s="1"/>
  <c r="N10" i="6" s="1"/>
  <c r="H152" i="10"/>
  <c r="H19" i="6" s="1"/>
  <c r="AB20" i="10"/>
  <c r="V66" i="10"/>
  <c r="V20" i="10"/>
  <c r="R20" i="10" s="1"/>
  <c r="L73" i="10"/>
  <c r="S73" i="10" s="1"/>
  <c r="H76" i="10" s="1"/>
  <c r="AJ21" i="10"/>
  <c r="AJ24" i="10"/>
  <c r="AJ22" i="10"/>
  <c r="B23" i="6"/>
  <c r="B19" i="6"/>
  <c r="B18" i="10"/>
  <c r="B21" i="6"/>
  <c r="B20" i="6"/>
  <c r="B22" i="6"/>
  <c r="V56" i="10"/>
  <c r="R23" i="10"/>
  <c r="L93" i="10"/>
  <c r="S93" i="10" s="1"/>
  <c r="H96" i="10" s="1"/>
  <c r="O149" i="10"/>
  <c r="O10" i="6" s="1"/>
  <c r="E10" i="6"/>
  <c r="T24" i="10"/>
  <c r="H153" i="10"/>
  <c r="N153" i="10" s="1"/>
  <c r="N20" i="6" s="1"/>
  <c r="X19" i="10"/>
  <c r="V57" i="10"/>
  <c r="V51" i="10" s="1"/>
  <c r="H19" i="10"/>
  <c r="H148" i="10"/>
  <c r="V19" i="10"/>
  <c r="AJ19" i="10"/>
  <c r="AJ23" i="10"/>
  <c r="B16" i="6"/>
  <c r="B15" i="6"/>
  <c r="B12" i="6"/>
  <c r="L19" i="6"/>
  <c r="L22" i="6"/>
  <c r="L113" i="10"/>
  <c r="S113" i="10" s="1"/>
  <c r="U116" i="10" s="1"/>
  <c r="B24" i="6"/>
  <c r="B26" i="6"/>
  <c r="B14" i="6"/>
  <c r="B10" i="6"/>
  <c r="B9" i="6"/>
  <c r="C25" i="18"/>
  <c r="A151" i="18"/>
  <c r="A26" i="6" s="1"/>
  <c r="C26" i="6" s="1"/>
  <c r="B37" i="18"/>
  <c r="C22" i="18"/>
  <c r="A150" i="18"/>
  <c r="A25" i="6" s="1"/>
  <c r="C25" i="6" s="1"/>
  <c r="C21" i="18"/>
  <c r="B36" i="18"/>
  <c r="C26" i="18"/>
  <c r="C93" i="18"/>
  <c r="H93" i="18" s="1"/>
  <c r="R23" i="18"/>
  <c r="C20" i="18"/>
  <c r="A149" i="18"/>
  <c r="A24" i="6" s="1"/>
  <c r="C24" i="6" s="1"/>
  <c r="B35" i="18"/>
  <c r="T19" i="10"/>
  <c r="C19" i="6"/>
  <c r="B34" i="18"/>
  <c r="C24" i="18"/>
  <c r="A148" i="18"/>
  <c r="A23" i="6" s="1"/>
  <c r="C23" i="6" s="1"/>
  <c r="C19" i="18"/>
  <c r="H86" i="10"/>
  <c r="U86" i="10"/>
  <c r="J20" i="18"/>
  <c r="O37" i="18"/>
  <c r="A155" i="18"/>
  <c r="A32" i="6" s="1"/>
  <c r="J24" i="18"/>
  <c r="H126" i="10"/>
  <c r="U126" i="10"/>
  <c r="A154" i="18"/>
  <c r="A31" i="6" s="1"/>
  <c r="O36" i="18"/>
  <c r="J23" i="18"/>
  <c r="J19" i="18"/>
  <c r="AJ25" i="10"/>
  <c r="U66" i="10"/>
  <c r="H66" i="10"/>
  <c r="U106" i="10"/>
  <c r="H106" i="10"/>
  <c r="C10" i="6"/>
  <c r="J22" i="18"/>
  <c r="J26" i="18"/>
  <c r="A153" i="18"/>
  <c r="A30" i="6" s="1"/>
  <c r="AJ20" i="10"/>
  <c r="U56" i="10"/>
  <c r="H56" i="10"/>
  <c r="U96" i="10"/>
  <c r="A152" i="18"/>
  <c r="A29" i="6" s="1"/>
  <c r="J25" i="18"/>
  <c r="J21" i="18"/>
  <c r="O34" i="18"/>
  <c r="O153" i="18" l="1"/>
  <c r="O30" i="6" s="1"/>
  <c r="O14" i="6" s="1"/>
  <c r="K153" i="18"/>
  <c r="K30" i="6" s="1"/>
  <c r="K14" i="6" s="1"/>
  <c r="O152" i="18"/>
  <c r="O29" i="6" s="1"/>
  <c r="O13" i="6" s="1"/>
  <c r="K152" i="18"/>
  <c r="K29" i="6" s="1"/>
  <c r="K13" i="6" s="1"/>
  <c r="O151" i="18"/>
  <c r="O26" i="6" s="1"/>
  <c r="K151" i="18"/>
  <c r="K26" i="6" s="1"/>
  <c r="K150" i="18"/>
  <c r="K25" i="6" s="1"/>
  <c r="N154" i="18"/>
  <c r="N31" i="6" s="1"/>
  <c r="N15" i="6" s="1"/>
  <c r="K154" i="18"/>
  <c r="K31" i="6" s="1"/>
  <c r="K15" i="6" s="1"/>
  <c r="K149" i="18"/>
  <c r="K24" i="6" s="1"/>
  <c r="E24" i="6"/>
  <c r="O149" i="18"/>
  <c r="O24" i="6" s="1"/>
  <c r="K155" i="18"/>
  <c r="K32" i="6" s="1"/>
  <c r="K16" i="6" s="1"/>
  <c r="E32" i="6"/>
  <c r="E16" i="6" s="1"/>
  <c r="O148" i="18"/>
  <c r="O23" i="6" s="1"/>
  <c r="K148" i="18"/>
  <c r="K23" i="6" s="1"/>
  <c r="H25" i="6"/>
  <c r="E26" i="9" s="1"/>
  <c r="H30" i="6"/>
  <c r="H14" i="6" s="1"/>
  <c r="N153" i="18"/>
  <c r="N30" i="6" s="1"/>
  <c r="N14" i="6" s="1"/>
  <c r="N151" i="18"/>
  <c r="N26" i="6" s="1"/>
  <c r="H26" i="6"/>
  <c r="N152" i="18"/>
  <c r="N29" i="6" s="1"/>
  <c r="N13" i="6" s="1"/>
  <c r="H29" i="6"/>
  <c r="H13" i="6" s="1"/>
  <c r="N148" i="18"/>
  <c r="N23" i="6" s="1"/>
  <c r="N149" i="18"/>
  <c r="N24" i="6" s="1"/>
  <c r="H32" i="6"/>
  <c r="H16" i="6" s="1"/>
  <c r="N155" i="18"/>
  <c r="N32" i="6" s="1"/>
  <c r="N16" i="6" s="1"/>
  <c r="V51" i="18"/>
  <c r="AK26" i="10"/>
  <c r="K151" i="10"/>
  <c r="K12" i="6" s="1"/>
  <c r="N154" i="10"/>
  <c r="N21" i="6" s="1"/>
  <c r="K154" i="10"/>
  <c r="K21" i="6" s="1"/>
  <c r="O151" i="10"/>
  <c r="O12" i="6" s="1"/>
  <c r="O155" i="10"/>
  <c r="O22" i="6" s="1"/>
  <c r="K155" i="10"/>
  <c r="K22" i="6" s="1"/>
  <c r="O154" i="10"/>
  <c r="O21" i="6" s="1"/>
  <c r="K150" i="10"/>
  <c r="K11" i="6" s="1"/>
  <c r="K149" i="10"/>
  <c r="K10" i="6" s="1"/>
  <c r="K153" i="10"/>
  <c r="K20" i="6" s="1"/>
  <c r="E20" i="6"/>
  <c r="O152" i="10"/>
  <c r="O19" i="6" s="1"/>
  <c r="K152" i="10"/>
  <c r="K19" i="6" s="1"/>
  <c r="O148" i="10"/>
  <c r="O9" i="6" s="1"/>
  <c r="K148" i="10"/>
  <c r="K9" i="6" s="1"/>
  <c r="H12" i="6"/>
  <c r="H22" i="6"/>
  <c r="N155" i="10"/>
  <c r="N22" i="6" s="1"/>
  <c r="N150" i="10"/>
  <c r="N11" i="6" s="1"/>
  <c r="AK21" i="10"/>
  <c r="H10" i="6"/>
  <c r="R19" i="10"/>
  <c r="AK19" i="10" s="1"/>
  <c r="N152" i="10"/>
  <c r="N19" i="6" s="1"/>
  <c r="AK20" i="10"/>
  <c r="AK22" i="10"/>
  <c r="U76" i="10"/>
  <c r="J155" i="10" s="1"/>
  <c r="J22" i="6" s="1"/>
  <c r="AK24" i="10"/>
  <c r="J154" i="10"/>
  <c r="J21" i="6" s="1"/>
  <c r="AK23" i="10"/>
  <c r="T27" i="10"/>
  <c r="W27" i="10" s="1"/>
  <c r="H116" i="10"/>
  <c r="J150" i="10" s="1"/>
  <c r="J11" i="6" s="1"/>
  <c r="H20" i="6"/>
  <c r="E25" i="9" s="1"/>
  <c r="H9" i="6"/>
  <c r="N148" i="10"/>
  <c r="N9" i="6" s="1"/>
  <c r="J153" i="10"/>
  <c r="J20" i="6" s="1"/>
  <c r="H30" i="9"/>
  <c r="C83" i="18"/>
  <c r="H83" i="18" s="1"/>
  <c r="R22" i="18"/>
  <c r="R25" i="18"/>
  <c r="C113" i="18"/>
  <c r="H113" i="18" s="1"/>
  <c r="R21" i="18"/>
  <c r="C73" i="18"/>
  <c r="H73" i="18" s="1"/>
  <c r="H27" i="9"/>
  <c r="R26" i="18"/>
  <c r="C123" i="18"/>
  <c r="H123" i="18" s="1"/>
  <c r="I28" i="9"/>
  <c r="E29" i="9"/>
  <c r="R20" i="18"/>
  <c r="C63" i="18"/>
  <c r="H63" i="18" s="1"/>
  <c r="D31" i="9"/>
  <c r="G28" i="9"/>
  <c r="E31" i="9"/>
  <c r="H25" i="9"/>
  <c r="E24" i="9"/>
  <c r="E28" i="9"/>
  <c r="F24" i="9"/>
  <c r="F30" i="9"/>
  <c r="I31" i="9"/>
  <c r="D26" i="9"/>
  <c r="F31" i="9"/>
  <c r="D24" i="9"/>
  <c r="G31" i="9"/>
  <c r="G30" i="9"/>
  <c r="I25" i="9"/>
  <c r="H29" i="9"/>
  <c r="R24" i="18"/>
  <c r="C103" i="18"/>
  <c r="H103" i="18" s="1"/>
  <c r="I30" i="9"/>
  <c r="H26" i="9"/>
  <c r="H24" i="9"/>
  <c r="F28" i="9"/>
  <c r="F27" i="9"/>
  <c r="D28" i="9"/>
  <c r="F29" i="9"/>
  <c r="H31" i="9"/>
  <c r="I29" i="9"/>
  <c r="D29" i="9"/>
  <c r="R19" i="18"/>
  <c r="C53" i="18"/>
  <c r="H53" i="18" s="1"/>
  <c r="J148" i="10"/>
  <c r="J9" i="6" s="1"/>
  <c r="J152" i="10"/>
  <c r="J19" i="6" s="1"/>
  <c r="F25" i="9"/>
  <c r="I27" i="9"/>
  <c r="D30" i="9"/>
  <c r="D27" i="9"/>
  <c r="I26" i="9"/>
  <c r="I24" i="9"/>
  <c r="H28" i="9"/>
  <c r="F26" i="9"/>
  <c r="G29" i="9"/>
  <c r="D25" i="9"/>
  <c r="E30" i="9"/>
  <c r="L63" i="18"/>
  <c r="S63" i="18" s="1"/>
  <c r="AJ20" i="18"/>
  <c r="T20" i="18"/>
  <c r="L103" i="18"/>
  <c r="S103" i="18" s="1"/>
  <c r="AJ24" i="18"/>
  <c r="T24" i="18"/>
  <c r="C32" i="6"/>
  <c r="A16" i="6"/>
  <c r="C16" i="6" s="1"/>
  <c r="J151" i="10"/>
  <c r="J12" i="6" s="1"/>
  <c r="L53" i="18"/>
  <c r="S53" i="18" s="1"/>
  <c r="T19" i="18"/>
  <c r="AJ19" i="18"/>
  <c r="AJ23" i="18"/>
  <c r="L93" i="18"/>
  <c r="S93" i="18" s="1"/>
  <c r="T23" i="18"/>
  <c r="AK25" i="10"/>
  <c r="C31" i="6"/>
  <c r="A15" i="6"/>
  <c r="C15" i="6" s="1"/>
  <c r="C30" i="6"/>
  <c r="A14" i="6"/>
  <c r="C14" i="6" s="1"/>
  <c r="AJ26" i="18"/>
  <c r="L123" i="18"/>
  <c r="S123" i="18" s="1"/>
  <c r="T26" i="18"/>
  <c r="T22" i="18"/>
  <c r="L83" i="18"/>
  <c r="S83" i="18" s="1"/>
  <c r="AJ22" i="18"/>
  <c r="J149" i="10"/>
  <c r="J10" i="6" s="1"/>
  <c r="L73" i="18"/>
  <c r="S73" i="18" s="1"/>
  <c r="AJ21" i="18"/>
  <c r="T21" i="18"/>
  <c r="AJ25" i="18"/>
  <c r="L113" i="18"/>
  <c r="S113" i="18" s="1"/>
  <c r="T25" i="18"/>
  <c r="A13" i="6"/>
  <c r="C29" i="6"/>
  <c r="AK23" i="18" l="1"/>
  <c r="E27" i="9"/>
  <c r="J27" i="9" s="1"/>
  <c r="AK19" i="18"/>
  <c r="R27" i="10"/>
  <c r="V27" i="10" s="1"/>
  <c r="B36" i="9" s="1"/>
  <c r="AK28" i="10"/>
  <c r="R27" i="18"/>
  <c r="V27" i="18" s="1"/>
  <c r="T27" i="18"/>
  <c r="W27" i="18" s="1"/>
  <c r="AK24" i="18"/>
  <c r="AK22" i="18"/>
  <c r="AK21" i="18"/>
  <c r="J25" i="9"/>
  <c r="K25" i="9"/>
  <c r="J28" i="9"/>
  <c r="K28" i="9"/>
  <c r="J24" i="9"/>
  <c r="K24" i="9"/>
  <c r="J30" i="9"/>
  <c r="K30" i="9"/>
  <c r="J31" i="9"/>
  <c r="K31" i="9"/>
  <c r="K27" i="9"/>
  <c r="K29" i="9"/>
  <c r="J29" i="9"/>
  <c r="J26" i="9"/>
  <c r="K26" i="9"/>
  <c r="AK25" i="18"/>
  <c r="AK26" i="18"/>
  <c r="AK20" i="18"/>
  <c r="D32" i="9"/>
  <c r="I32" i="9"/>
  <c r="F32" i="9"/>
  <c r="H32" i="9"/>
  <c r="H106" i="18"/>
  <c r="U106" i="18"/>
  <c r="H66" i="18"/>
  <c r="U66" i="18"/>
  <c r="H96" i="18"/>
  <c r="U96" i="18"/>
  <c r="H56" i="18"/>
  <c r="U56" i="18"/>
  <c r="H86" i="18"/>
  <c r="U86" i="18"/>
  <c r="H126" i="18"/>
  <c r="U126" i="18"/>
  <c r="C13" i="6"/>
  <c r="I14" i="9"/>
  <c r="I15" i="9"/>
  <c r="E13" i="9"/>
  <c r="E15" i="9"/>
  <c r="F15" i="9"/>
  <c r="F18" i="9"/>
  <c r="D15" i="9"/>
  <c r="D14" i="9"/>
  <c r="D11" i="9"/>
  <c r="E16" i="9"/>
  <c r="E12" i="9"/>
  <c r="D17" i="9"/>
  <c r="E11" i="9"/>
  <c r="H15" i="9"/>
  <c r="I11" i="9"/>
  <c r="F11" i="9"/>
  <c r="I13" i="9"/>
  <c r="D12" i="9"/>
  <c r="F16" i="9"/>
  <c r="I18" i="9"/>
  <c r="H18" i="9"/>
  <c r="H16" i="9"/>
  <c r="E14" i="9"/>
  <c r="D16" i="9"/>
  <c r="I16" i="9"/>
  <c r="F14" i="9"/>
  <c r="G15" i="9"/>
  <c r="H17" i="9"/>
  <c r="G17" i="9"/>
  <c r="H12" i="9"/>
  <c r="I12" i="9"/>
  <c r="D13" i="9"/>
  <c r="G18" i="9"/>
  <c r="H13" i="9"/>
  <c r="H11" i="9"/>
  <c r="G16" i="9"/>
  <c r="I17" i="9"/>
  <c r="H14" i="9"/>
  <c r="E17" i="9"/>
  <c r="F13" i="9"/>
  <c r="D18" i="9"/>
  <c r="F12" i="9"/>
  <c r="F17" i="9"/>
  <c r="E18" i="9"/>
  <c r="U116" i="18"/>
  <c r="H116" i="18"/>
  <c r="U76" i="18"/>
  <c r="H76" i="18"/>
  <c r="E32" i="9" l="1"/>
  <c r="J32" i="9" s="1"/>
  <c r="J151" i="18"/>
  <c r="J26" i="6" s="1"/>
  <c r="B31" i="10"/>
  <c r="B37" i="9"/>
  <c r="B31" i="18"/>
  <c r="AK28" i="18"/>
  <c r="J12" i="9"/>
  <c r="K12" i="9"/>
  <c r="J15" i="9"/>
  <c r="K15" i="9"/>
  <c r="K11" i="9"/>
  <c r="J11" i="9"/>
  <c r="K32" i="9"/>
  <c r="J18" i="9"/>
  <c r="K18" i="9"/>
  <c r="K13" i="9"/>
  <c r="J13" i="9"/>
  <c r="J16" i="9"/>
  <c r="K16" i="9"/>
  <c r="K17" i="9"/>
  <c r="J17" i="9"/>
  <c r="J14" i="9"/>
  <c r="K14" i="9"/>
  <c r="J148" i="18"/>
  <c r="J23" i="6" s="1"/>
  <c r="G24" i="9" s="1"/>
  <c r="J150" i="18"/>
  <c r="J25" i="6" s="1"/>
  <c r="J155" i="18"/>
  <c r="J32" i="6" s="1"/>
  <c r="J16" i="6" s="1"/>
  <c r="G14" i="9" s="1"/>
  <c r="J154" i="18"/>
  <c r="J31" i="6" s="1"/>
  <c r="J15" i="6" s="1"/>
  <c r="G13" i="9" s="1"/>
  <c r="J149" i="18"/>
  <c r="J24" i="6" s="1"/>
  <c r="G25" i="9" s="1"/>
  <c r="D19" i="9"/>
  <c r="J153" i="18"/>
  <c r="J30" i="6" s="1"/>
  <c r="J14" i="6" s="1"/>
  <c r="G12" i="9" s="1"/>
  <c r="F19" i="9"/>
  <c r="I19" i="9"/>
  <c r="E19" i="9"/>
  <c r="H19" i="9"/>
  <c r="J152" i="18"/>
  <c r="J29" i="6" s="1"/>
  <c r="J13" i="6" s="1"/>
  <c r="G11" i="9" s="1"/>
  <c r="G27" i="9" l="1"/>
  <c r="G26" i="9"/>
  <c r="G19" i="9"/>
  <c r="J19" i="9"/>
  <c r="K19" i="9"/>
  <c r="G32" i="9" l="1"/>
  <c r="G34" i="9" s="1"/>
</calcChain>
</file>

<file path=xl/sharedStrings.xml><?xml version="1.0" encoding="utf-8"?>
<sst xmlns="http://schemas.openxmlformats.org/spreadsheetml/2006/main" count="558" uniqueCount="122">
  <si>
    <t>Nimi:</t>
  </si>
  <si>
    <t>erä</t>
  </si>
  <si>
    <t>Tiedot antoi:</t>
  </si>
  <si>
    <t>Lohko</t>
  </si>
  <si>
    <t>Pelaaja</t>
  </si>
  <si>
    <t>Tulos</t>
  </si>
  <si>
    <t>Erät</t>
  </si>
  <si>
    <t>x</t>
  </si>
  <si>
    <t>-</t>
  </si>
  <si>
    <t>(</t>
  </si>
  <si>
    <t>)</t>
  </si>
  <si>
    <t>LISÄPELI</t>
  </si>
  <si>
    <t>LOPPUTULOS</t>
  </si>
  <si>
    <t>Tikat</t>
  </si>
  <si>
    <t>Jäi</t>
  </si>
  <si>
    <t>Tons</t>
  </si>
  <si>
    <t>Max</t>
  </si>
  <si>
    <t>OTTELU 1</t>
  </si>
  <si>
    <t>OTTELU 2</t>
  </si>
  <si>
    <t>OTTELU 3</t>
  </si>
  <si>
    <t>OTTELU 4</t>
  </si>
  <si>
    <t>OTTELU 5</t>
  </si>
  <si>
    <t>OTTELU 6</t>
  </si>
  <si>
    <t>OTTELU 7</t>
  </si>
  <si>
    <t>OTTELU 8</t>
  </si>
  <si>
    <t>Tons.</t>
  </si>
  <si>
    <t>Maks.</t>
  </si>
  <si>
    <t>K.a</t>
  </si>
  <si>
    <t>Tons. Ka.</t>
  </si>
  <si>
    <t>Joukkue</t>
  </si>
  <si>
    <t>SUOMEN DARTSLIITTO</t>
  </si>
  <si>
    <t xml:space="preserve">      SUOMEN DARTSLIITTO</t>
  </si>
  <si>
    <t>Joukkue 1</t>
  </si>
  <si>
    <t>Joukkue 2</t>
  </si>
  <si>
    <t xml:space="preserve">Pelipaikka: </t>
  </si>
  <si>
    <t>- Aika: päivämäärä, kuukausi ja vuosi</t>
  </si>
  <si>
    <t>- Rasti ruutuun sen nimen kohdalle, kuka on kapteeni</t>
  </si>
  <si>
    <t>Hävityt erät</t>
  </si>
  <si>
    <t>Voitetut erät</t>
  </si>
  <si>
    <t>Voitetut pelit</t>
  </si>
  <si>
    <t>Pelatut erät</t>
  </si>
  <si>
    <t>X</t>
  </si>
  <si>
    <t>Tonsit</t>
  </si>
  <si>
    <t>Maksimit</t>
  </si>
  <si>
    <t>Tons. Ka</t>
  </si>
  <si>
    <t>Max.</t>
  </si>
  <si>
    <t>OHJEET !!!</t>
  </si>
  <si>
    <t>- Pelipaikka: pelipaikan nimi ja paikkakunta</t>
  </si>
  <si>
    <t>L</t>
  </si>
  <si>
    <t>Puhelin:</t>
  </si>
  <si>
    <t>Kotijoukkue</t>
  </si>
  <si>
    <t>Tällöin merkitään kyseisen pelin luovuttaneen pelaajan kohdalle, punaiseen ruutuun L-kirjain(tarvittaessa siis kumpaakin)</t>
  </si>
  <si>
    <t>Aloitus</t>
  </si>
  <si>
    <t>Ottelun kulku</t>
  </si>
  <si>
    <t>- Kierros sekä lohkonumero</t>
  </si>
  <si>
    <t>kotijoukkue</t>
  </si>
  <si>
    <t>Syötä tilasto-välilehdellä sijaitsevaan pöytäkirjaan seuraavat tiedot:</t>
  </si>
  <si>
    <t>- KAIKKI KYSEISEN KIERROKSEN PELAAJAT JOUKKUEITTAIN</t>
  </si>
  <si>
    <t>- Tikat, Jäi, tons, MAX</t>
  </si>
  <si>
    <t>- Lopuksi tarkista "tilastot"-välilehdellä oleva dokumentti. Jos huomaat virheitä, voit käydä korjaamassa niitä pöytäkirjoissa. Tilasto päivittyy automaattisesti keskiarvojen yms. osalta.</t>
  </si>
  <si>
    <t>- jos haluat jättää kyseisen kohdan tyhjäksi, hyppää seuraavaan kohtaan !</t>
  </si>
  <si>
    <t xml:space="preserve">- Jos haluat tulostaa koko ottelun kaikki pelit ja erät, niin laita täppä kohtaan "ohita tulostusalueasetukset". </t>
  </si>
  <si>
    <t xml:space="preserve">Tons = 100 ja yli tulokset sekä poikkaisut.
MAX = 170-180 tulokset ja poikkaisu(muista merkitä myös lisäksi tons)    </t>
  </si>
  <si>
    <t>ver 2</t>
  </si>
  <si>
    <r>
      <t xml:space="preserve">Tämän ottelun pelijärjestys määräytyy osittain </t>
    </r>
    <r>
      <rPr>
        <b/>
        <u/>
        <sz val="12"/>
        <color indexed="10"/>
        <rFont val="Arial"/>
        <family val="2"/>
      </rPr>
      <t>Ottelun 1</t>
    </r>
    <r>
      <rPr>
        <sz val="12"/>
        <color indexed="10"/>
        <rFont val="Arial"/>
        <family val="2"/>
      </rPr>
      <t xml:space="preserve"> perusteella ! Voit vaihtaa pelaajia tietyin rajoituksin.</t>
    </r>
  </si>
  <si>
    <t>HUOMIOI, ETTÄ VOIT VAIHTAA PELAAJIA OTTELUSSA 2 TIETYIN RAJOITUKSIN, JOSSA HUOMIOIDAAN MYÖS OTTELUN 1 PELAAJAT!!!</t>
  </si>
  <si>
    <t>JÄRJESTYS: PELAAJAT 1-4 = OTTELU 1, PELAAJAT 5-8 = OTTELU 2</t>
  </si>
  <si>
    <t>- Ottelussa,klikkaa kyseistä kohtaa ja valitse alasvetovalikosta oikea nimi !</t>
  </si>
  <si>
    <t>- Huom:jos korjaat nimiä TILASTOT-välilehdellä kesken otteluiden pitää kyseinen nimi käydä valitsemassa uudestaan pöytäkirjassa !</t>
  </si>
  <si>
    <t>Jokaisen ottelun, myös lisäpelin kohdalla pöytäkirjasta löytyy numero. Klikkaamalla sitä pääset taulukkoon, jossa voi syöttää kyseisen matsin tietoja kuten:</t>
  </si>
  <si>
    <t>Tilanne jossa joukkue pelaa vajaalla, joku joukkueesta luovuttaa pelinsä,tai kummatkin joukkueet pelaavat vajaalla !!</t>
  </si>
  <si>
    <t>Pelaajien nimien valitseminen pöytäkirjaan</t>
  </si>
  <si>
    <t>Sininen nuoli ylöspäin vie sinut takaisin pöytäkirjaan</t>
  </si>
  <si>
    <t xml:space="preserve">- NOLLAA EI SAA MERKITÄ MISSÄÄN VAIHEESSA!!! </t>
  </si>
  <si>
    <t>SM-LIIGA OTTELUPÖYTÄKIRJA</t>
  </si>
  <si>
    <t xml:space="preserve">Kierros: </t>
  </si>
  <si>
    <t xml:space="preserve">Pvm: </t>
  </si>
  <si>
    <t>Kotijoukkue + joukkueen nro</t>
  </si>
  <si>
    <t>Vierasjoukkue + joukkueen nro</t>
  </si>
  <si>
    <t>Yhteensä:</t>
  </si>
  <si>
    <t>TULOKSET:</t>
  </si>
  <si>
    <t xml:space="preserve">Tonsipoksit (Vain poikkaisut) </t>
  </si>
  <si>
    <t>Vierasjoukkue</t>
  </si>
  <si>
    <t>Tarkista ennen lähettämistä tilasto-sivulta, että voitettuja pelejä on yhteensä 16</t>
  </si>
  <si>
    <t>Nimi</t>
  </si>
  <si>
    <r>
      <rPr>
        <sz val="12"/>
        <color indexed="10"/>
        <rFont val="Arial"/>
        <family val="2"/>
      </rPr>
      <t>Erän voittajan jäi sarake jätetään tyhjäksi, älä merkitse nollaa</t>
    </r>
    <r>
      <rPr>
        <sz val="12"/>
        <rFont val="Arial"/>
        <family val="2"/>
      </rPr>
      <t xml:space="preserve">
Tons = 100 ja yli tulokset sekä poikkaisut.
MAX = 170-180 tulokset ja poikkaisu(muista merkitä myös lisäksi tons eli 1+1)  </t>
    </r>
  </si>
  <si>
    <r>
      <rPr>
        <b/>
        <sz val="12"/>
        <color indexed="10"/>
        <rFont val="Arial"/>
        <family val="2"/>
      </rPr>
      <t>Erän voittajan jäi sarake jätetään tyhjäksi, älä merkitse nollaa</t>
    </r>
    <r>
      <rPr>
        <b/>
        <sz val="12"/>
        <rFont val="Arial"/>
        <family val="2"/>
      </rPr>
      <t xml:space="preserve">
Tons = 100 ja yli tulokset sekä poikkaisut.
MAX = 170-180 tulokset ja poikkaisu(muista merkitä myös lisäksi tons eli 1+1)  </t>
    </r>
  </si>
  <si>
    <t>Tulosten käsittelyn nopeuttamiseksi voit halutessasi laittaa pelien lopputulokset 
sähköpostin viestiksi</t>
  </si>
  <si>
    <t>Vajaalla pelaaminen tai luovutus</t>
  </si>
  <si>
    <t xml:space="preserve">Pelaajan otteluiden kohdalle merkitään punaiseen ruutuun L-kirjain. Jos ottelua ei pelata laisinkaan merkitään L-kirjain molempien kohdalle. </t>
  </si>
  <si>
    <r>
      <t xml:space="preserve">Tons = 100 ja yli tulokset sekä poikkaisut.
MAX = 170-180 tulokset ja poikkaisu(muista merkitä myös lisäksi tons </t>
    </r>
    <r>
      <rPr>
        <b/>
        <sz val="12"/>
        <rFont val="Arial"/>
        <family val="2"/>
      </rPr>
      <t>eli 1+1</t>
    </r>
    <r>
      <rPr>
        <sz val="12"/>
        <rFont val="Arial"/>
        <family val="2"/>
      </rPr>
      <t xml:space="preserve">)    
</t>
    </r>
  </si>
  <si>
    <r>
      <t xml:space="preserve">Pelien loputtua </t>
    </r>
    <r>
      <rPr>
        <sz val="12"/>
        <color indexed="10"/>
        <rFont val="Arial"/>
        <family val="2"/>
      </rPr>
      <t>tarkista</t>
    </r>
    <r>
      <rPr>
        <sz val="12"/>
        <rFont val="Arial"/>
        <family val="2"/>
      </rPr>
      <t xml:space="preserve"> tilasto dokumentti. Voitettuja pelejä tulee olla yhteensä 16 .
Jos huomaat virheitä, voit käydä korjaamassa niitä pöytäkirjoissa. Tilasto päivittyy automaattisesti keskiarvojen yms. osalta.</t>
    </r>
  </si>
  <si>
    <t xml:space="preserve">Pelaajien nimet valitaan pöytäkirjaan klikkaamalla kyseistä kohtaa
ja valitaan alasvetovalikosta oikea nimi, kapteenin kohdalle X
HUOM! Jos korjaat nimiä tilastot välilehdellä kesken pelin, nimi täytyy valita uudestaan ottelupöytäkirjaan
</t>
  </si>
  <si>
    <r>
      <t xml:space="preserve">  - Kaikkien kyseisen kierroksen pelaajien nimet (sama kuin lisensissä)
</t>
    </r>
    <r>
      <rPr>
        <b/>
        <sz val="12"/>
        <rFont val="Arial"/>
        <family val="2"/>
      </rPr>
      <t>JÄRJESTYS</t>
    </r>
    <r>
      <rPr>
        <sz val="12"/>
        <rFont val="Arial"/>
        <family val="2"/>
      </rPr>
      <t>: PELAAJAT 1-4 = OTTELU1, PELAAJAT 5-8 OTTELU2
HUOMIO, ETTÄ VOIT VAIHTAA PELAAJIA OTTELUSSA 2 TIETYIN RAJOITUKSIN, JOISSA HUOMIOIDAAN MYÖS OTTELUN 1 PELAAJAT</t>
    </r>
  </si>
  <si>
    <r>
      <rPr>
        <b/>
        <sz val="14"/>
        <color indexed="30"/>
        <rFont val="Arial"/>
        <family val="2"/>
      </rPr>
      <t>Tulokset</t>
    </r>
    <r>
      <rPr>
        <sz val="12"/>
        <rFont val="Arial"/>
        <family val="2"/>
      </rPr>
      <t xml:space="preserve">
</t>
    </r>
    <r>
      <rPr>
        <sz val="12"/>
        <color indexed="10"/>
        <rFont val="Arial"/>
        <family val="2"/>
      </rPr>
      <t>Lähetä tarkistettu pöytäkirja mahdollisimman pian pelien jälkeen</t>
    </r>
    <r>
      <rPr>
        <b/>
        <sz val="12"/>
        <color indexed="10"/>
        <rFont val="Arial"/>
        <family val="2"/>
      </rPr>
      <t xml:space="preserve"> liigasihteeri.sdl@gmail.com, 
kuitenkin viimeistään seuraavana päivänä klo 12 mennessä. </t>
    </r>
    <r>
      <rPr>
        <sz val="12"/>
        <color indexed="10"/>
        <rFont val="Arial"/>
        <family val="2"/>
      </rPr>
      <t xml:space="preserve">
Nimeä sähköposti samalla tavalla kuin ottelupöytäkirja (ohje yllä)</t>
    </r>
  </si>
  <si>
    <t>- Kierros, pelipaikka, päivämäärä</t>
  </si>
  <si>
    <r>
      <t xml:space="preserve">Taulukkoon  syötetään käytetty tikkamäärä,  
paljonko jäi </t>
    </r>
    <r>
      <rPr>
        <sz val="12"/>
        <color indexed="10"/>
        <rFont val="Arial"/>
        <family val="2"/>
      </rPr>
      <t xml:space="preserve">(nollaa ei merkitä, erän voittajan jäi sarake jätetään tyhjäksi), 
</t>
    </r>
    <r>
      <rPr>
        <sz val="12"/>
        <rFont val="Arial"/>
        <family val="2"/>
      </rPr>
      <t>lisäksi tonsti ja maksimit</t>
    </r>
  </si>
  <si>
    <r>
      <rPr>
        <b/>
        <sz val="14"/>
        <color indexed="30"/>
        <rFont val="Arial"/>
        <family val="2"/>
      </rPr>
      <t xml:space="preserve">Tallenna pöytäkirja mallin mukaisella nimellä </t>
    </r>
    <r>
      <rPr>
        <b/>
        <sz val="14"/>
        <rFont val="Arial"/>
        <family val="2"/>
      </rPr>
      <t xml:space="preserve">
</t>
    </r>
    <r>
      <rPr>
        <sz val="14"/>
        <rFont val="Arial"/>
        <family val="2"/>
      </rPr>
      <t>M2 Lohkonro Kierrosnro Kotijoukkue Vierasjoukkue
Esim. M2 L2 K2 Samuli Blues 1 Päkki Darts 1</t>
    </r>
  </si>
  <si>
    <r>
      <rPr>
        <sz val="11"/>
        <color indexed="48"/>
        <rFont val="Arial"/>
        <family val="2"/>
      </rPr>
      <t xml:space="preserve">Lähetä tarkistettu pöytäkirja mahdollisimman </t>
    </r>
    <r>
      <rPr>
        <b/>
        <sz val="11"/>
        <color indexed="48"/>
        <rFont val="Arial"/>
        <family val="2"/>
      </rPr>
      <t>pian</t>
    </r>
    <r>
      <rPr>
        <sz val="11"/>
        <color indexed="48"/>
        <rFont val="Arial"/>
        <family val="2"/>
      </rPr>
      <t xml:space="preserve"> pelien jälkeen liigasihteeri.sdl@gmail.com. 
</t>
    </r>
    <r>
      <rPr>
        <b/>
        <sz val="11"/>
        <color indexed="48"/>
        <rFont val="Arial"/>
        <family val="2"/>
      </rPr>
      <t>Nimeä</t>
    </r>
    <r>
      <rPr>
        <sz val="11"/>
        <color indexed="48"/>
        <rFont val="Arial"/>
        <family val="2"/>
      </rPr>
      <t xml:space="preserve"> sähköposti samalla tavalla kuin ottelupöytäkirja (kts. ohje)
Tulosten käsittelyn nopeuttamiseksi voit halutessasi laittaa pelien lopputulokset 
sähköpostin viestiksi</t>
    </r>
  </si>
  <si>
    <t>Tonsipoksit (vain poikkaisut)</t>
  </si>
  <si>
    <r>
      <t>Pelaajan nimi</t>
    </r>
    <r>
      <rPr>
        <b/>
        <sz val="10"/>
        <color rgb="FFFF0000"/>
        <rFont val="Arial"/>
        <family val="2"/>
      </rPr>
      <t xml:space="preserve"> (</t>
    </r>
    <r>
      <rPr>
        <b/>
        <u/>
        <sz val="10"/>
        <color rgb="FFFF0000"/>
        <rFont val="Arial"/>
        <family val="2"/>
      </rPr>
      <t>Sukunimi</t>
    </r>
    <r>
      <rPr>
        <b/>
        <sz val="10"/>
        <color rgb="FFFF0000"/>
        <rFont val="Arial"/>
        <family val="2"/>
      </rPr>
      <t xml:space="preserve"> ensin + Etunimi)</t>
    </r>
  </si>
  <si>
    <t>Kapt.</t>
  </si>
  <si>
    <t>Kapt</t>
  </si>
  <si>
    <t>Tarkista ennen lähettämistä, että voitettuja pelejä on yhteensä 16</t>
  </si>
  <si>
    <t>Miehet 2 divisioona 2021-22</t>
  </si>
  <si>
    <t xml:space="preserve">Lohko: </t>
  </si>
  <si>
    <t>KA</t>
  </si>
  <si>
    <t xml:space="preserve">Miehet 2 divisioona 2021-22   Kierros </t>
  </si>
  <si>
    <t>Pub Grönan, Hanko</t>
  </si>
  <si>
    <t>Grönan DC 2</t>
  </si>
  <si>
    <t>Ohari DC 2</t>
  </si>
  <si>
    <t>Jarno Aho</t>
  </si>
  <si>
    <t>0407052152</t>
  </si>
  <si>
    <t>Lindholm Tobias</t>
  </si>
  <si>
    <t>Aho Jarno</t>
  </si>
  <si>
    <t>Nyholm Mikael</t>
  </si>
  <si>
    <t>Holmström Bjarne</t>
  </si>
  <si>
    <t>Nevalainen Ari</t>
  </si>
  <si>
    <t>Partanen Jarkko</t>
  </si>
  <si>
    <t>Mantila Petri</t>
  </si>
  <si>
    <t>Lokkinen Marko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</si>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</sst>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2" x14ac:knownFonts="1">
    <font>
      <sz val="10"/>
      <name val="Arial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34"/>
      <name val="Arial Black"/>
      <family val="2"/>
    </font>
    <font>
      <b/>
      <sz val="23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38"/>
      <name val="Arial Black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25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Vivaldi"/>
      <family val="4"/>
    </font>
    <font>
      <b/>
      <u/>
      <sz val="12"/>
      <name val="Arial"/>
      <family val="2"/>
    </font>
    <font>
      <sz val="12"/>
      <color indexed="10"/>
      <name val="Arial"/>
      <family val="2"/>
    </font>
    <font>
      <sz val="16"/>
      <name val="Arial"/>
      <family val="2"/>
    </font>
    <font>
      <b/>
      <u/>
      <sz val="12"/>
      <color indexed="10"/>
      <name val="Arial"/>
      <family val="2"/>
    </font>
    <font>
      <b/>
      <u/>
      <sz val="14"/>
      <name val="Arial"/>
      <family val="2"/>
    </font>
    <font>
      <b/>
      <sz val="12"/>
      <color indexed="10"/>
      <name val="Arial"/>
      <family val="2"/>
    </font>
    <font>
      <b/>
      <sz val="14"/>
      <color indexed="30"/>
      <name val="Arial"/>
      <family val="2"/>
    </font>
    <font>
      <sz val="11"/>
      <color indexed="48"/>
      <name val="Arial"/>
      <family val="2"/>
    </font>
    <font>
      <b/>
      <sz val="11"/>
      <color indexed="48"/>
      <name val="Arial"/>
      <family val="2"/>
    </font>
    <font>
      <u/>
      <sz val="7"/>
      <color theme="10"/>
      <name val="Arial"/>
      <family val="2"/>
    </font>
    <font>
      <sz val="12"/>
      <color theme="0"/>
      <name val="Arial"/>
      <family val="2"/>
    </font>
    <font>
      <b/>
      <sz val="23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b/>
      <sz val="34"/>
      <color theme="0"/>
      <name val="Arial Black"/>
      <family val="2"/>
    </font>
    <font>
      <b/>
      <sz val="14"/>
      <color rgb="FFFF0000"/>
      <name val="Arial"/>
      <family val="2"/>
    </font>
    <font>
      <b/>
      <sz val="14"/>
      <color theme="10"/>
      <name val="Arial"/>
      <family val="2"/>
    </font>
    <font>
      <b/>
      <u/>
      <sz val="11"/>
      <color rgb="FFFF0000"/>
      <name val="Arial"/>
      <family val="2"/>
    </font>
    <font>
      <sz val="12"/>
      <color rgb="FFFF000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  <font>
      <b/>
      <sz val="8"/>
      <color theme="0"/>
      <name val="Arial"/>
      <family val="2"/>
    </font>
    <font>
      <b/>
      <sz val="12"/>
      <color rgb="FFFF0000"/>
      <name val="Arial"/>
      <family val="2"/>
    </font>
    <font>
      <sz val="14"/>
      <color rgb="FFFF0000"/>
      <name val="Arial"/>
      <family val="2"/>
    </font>
    <font>
      <sz val="8"/>
      <color rgb="FFFF0000"/>
      <name val="Arial"/>
      <family val="2"/>
    </font>
    <font>
      <b/>
      <sz val="14"/>
      <color theme="0"/>
      <name val="Arial"/>
      <family val="2"/>
    </font>
    <font>
      <b/>
      <sz val="14"/>
      <color theme="4"/>
      <name val="Arial"/>
      <family val="2"/>
    </font>
    <font>
      <b/>
      <u/>
      <sz val="18"/>
      <color rgb="FFFF0000"/>
      <name val="Arial"/>
      <family val="2"/>
    </font>
    <font>
      <b/>
      <sz val="14"/>
      <color rgb="FF7030A0"/>
      <name val="Arial"/>
      <family val="2"/>
    </font>
    <font>
      <sz val="10"/>
      <color rgb="FF7030A0"/>
      <name val="Arial"/>
      <family val="2"/>
    </font>
    <font>
      <sz val="12"/>
      <color rgb="FF7030A0"/>
      <name val="Arial"/>
      <family val="2"/>
    </font>
    <font>
      <b/>
      <sz val="10"/>
      <color rgb="FFFF0000"/>
      <name val="Arial"/>
      <family val="2"/>
    </font>
    <font>
      <b/>
      <sz val="12"/>
      <color rgb="FF7030A0"/>
      <name val="Arial"/>
      <family val="2"/>
    </font>
    <font>
      <b/>
      <sz val="16"/>
      <color rgb="FF7030A0"/>
      <name val="Arial"/>
      <family val="2"/>
    </font>
    <font>
      <b/>
      <sz val="16"/>
      <color theme="9" tint="-0.249977111117893"/>
      <name val="Arial"/>
      <family val="2"/>
    </font>
    <font>
      <b/>
      <sz val="26"/>
      <color rgb="FF7030A0"/>
      <name val="Arial"/>
      <family val="2"/>
    </font>
    <font>
      <b/>
      <sz val="14"/>
      <color rgb="FF0070C0"/>
      <name val="Arial"/>
      <family val="2"/>
    </font>
    <font>
      <sz val="12"/>
      <color rgb="FF00B050"/>
      <name val="Arial"/>
      <family val="2"/>
    </font>
    <font>
      <b/>
      <sz val="20"/>
      <color rgb="FF7030A0"/>
      <name val="Arial"/>
      <family val="2"/>
    </font>
    <font>
      <b/>
      <sz val="16"/>
      <color theme="1"/>
      <name val="Arial"/>
      <family val="2"/>
    </font>
    <font>
      <sz val="11"/>
      <color rgb="FF3E5FEA"/>
      <name val="Arial"/>
      <family val="2"/>
    </font>
    <font>
      <b/>
      <u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34"/>
      <color rgb="FFFF0000"/>
      <name val="Arial Black"/>
      <family val="2"/>
    </font>
    <font>
      <b/>
      <sz val="23"/>
      <color rgb="FFFF0000"/>
      <name val="Arial"/>
      <family val="2"/>
    </font>
    <font>
      <sz val="16"/>
      <color rgb="FFFF0000"/>
      <name val="Arial"/>
      <family val="2"/>
    </font>
    <font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574">
    <xf numFmtId="0" fontId="0" fillId="0" borderId="0" xfId="0"/>
    <xf numFmtId="0" fontId="3" fillId="0" borderId="0" xfId="2" applyFont="1"/>
    <xf numFmtId="0" fontId="3" fillId="0" borderId="0" xfId="2" applyFont="1" applyBorder="1" applyAlignment="1">
      <alignment horizontal="right"/>
    </xf>
    <xf numFmtId="0" fontId="4" fillId="0" borderId="0" xfId="2" applyFont="1"/>
    <xf numFmtId="0" fontId="3" fillId="0" borderId="0" xfId="2" applyFont="1" applyProtection="1"/>
    <xf numFmtId="0" fontId="3" fillId="0" borderId="0" xfId="2" applyFont="1" applyBorder="1" applyProtection="1"/>
    <xf numFmtId="0" fontId="3" fillId="0" borderId="0" xfId="2" applyFont="1" applyBorder="1"/>
    <xf numFmtId="0" fontId="3" fillId="0" borderId="1" xfId="2" applyFont="1" applyBorder="1" applyAlignment="1">
      <alignment horizontal="left"/>
    </xf>
    <xf numFmtId="0" fontId="3" fillId="0" borderId="2" xfId="2" applyFont="1" applyBorder="1" applyAlignment="1">
      <alignment horizontal="left"/>
    </xf>
    <xf numFmtId="49" fontId="3" fillId="0" borderId="0" xfId="2" applyNumberFormat="1" applyFont="1"/>
    <xf numFmtId="49" fontId="3" fillId="0" borderId="0" xfId="2" applyNumberFormat="1" applyFont="1" applyBorder="1"/>
    <xf numFmtId="0" fontId="10" fillId="0" borderId="0" xfId="2" applyFont="1"/>
    <xf numFmtId="49" fontId="3" fillId="0" borderId="0" xfId="2" applyNumberFormat="1" applyFont="1" applyBorder="1" applyAlignment="1">
      <alignment horizontal="center"/>
    </xf>
    <xf numFmtId="0" fontId="5" fillId="0" borderId="0" xfId="2" applyFont="1"/>
    <xf numFmtId="0" fontId="5" fillId="0" borderId="0" xfId="2" applyFont="1" applyBorder="1"/>
    <xf numFmtId="49" fontId="5" fillId="0" borderId="0" xfId="2" applyNumberFormat="1" applyFont="1" applyBorder="1" applyAlignment="1">
      <alignment horizontal="center"/>
    </xf>
    <xf numFmtId="49" fontId="5" fillId="0" borderId="0" xfId="2" applyNumberFormat="1" applyFont="1" applyBorder="1"/>
    <xf numFmtId="49" fontId="3" fillId="0" borderId="0" xfId="2" applyNumberFormat="1" applyFont="1" applyFill="1" applyBorder="1"/>
    <xf numFmtId="0" fontId="3" fillId="0" borderId="0" xfId="2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5" fillId="0" borderId="0" xfId="2" applyFont="1" applyBorder="1" applyAlignment="1">
      <alignment horizontal="right"/>
    </xf>
    <xf numFmtId="49" fontId="5" fillId="0" borderId="0" xfId="2" applyNumberFormat="1" applyFont="1" applyFill="1" applyBorder="1" applyAlignment="1">
      <alignment vertical="top"/>
    </xf>
    <xf numFmtId="0" fontId="5" fillId="0" borderId="0" xfId="2" applyFont="1" applyBorder="1" applyAlignment="1" applyProtection="1"/>
    <xf numFmtId="0" fontId="5" fillId="0" borderId="0" xfId="2" applyFont="1" applyBorder="1" applyAlignment="1">
      <alignment horizontal="right" vertical="center"/>
    </xf>
    <xf numFmtId="0" fontId="4" fillId="0" borderId="0" xfId="2" applyFont="1" applyBorder="1" applyAlignment="1">
      <alignment horizontal="center"/>
    </xf>
    <xf numFmtId="0" fontId="14" fillId="0" borderId="0" xfId="2" applyFont="1" applyBorder="1" applyAlignment="1" applyProtection="1">
      <alignment horizontal="right"/>
    </xf>
    <xf numFmtId="0" fontId="14" fillId="0" borderId="0" xfId="2" applyFont="1" applyBorder="1" applyAlignment="1" applyProtection="1">
      <alignment horizontal="left"/>
    </xf>
    <xf numFmtId="0" fontId="3" fillId="4" borderId="0" xfId="2" applyFont="1" applyFill="1"/>
    <xf numFmtId="1" fontId="14" fillId="0" borderId="0" xfId="2" applyNumberFormat="1" applyFont="1" applyBorder="1" applyAlignment="1">
      <alignment horizontal="center"/>
    </xf>
    <xf numFmtId="0" fontId="8" fillId="0" borderId="0" xfId="2" applyFont="1" applyBorder="1" applyAlignment="1"/>
    <xf numFmtId="0" fontId="7" fillId="0" borderId="0" xfId="2" applyFont="1" applyBorder="1"/>
    <xf numFmtId="49" fontId="7" fillId="0" borderId="0" xfId="2" applyNumberFormat="1" applyFont="1" applyBorder="1" applyAlignment="1">
      <alignment horizontal="center"/>
    </xf>
    <xf numFmtId="49" fontId="7" fillId="0" borderId="0" xfId="2" applyNumberFormat="1" applyFont="1" applyBorder="1"/>
    <xf numFmtId="0" fontId="5" fillId="0" borderId="0" xfId="2" applyFont="1" applyBorder="1" applyAlignment="1" applyProtection="1">
      <alignment horizontal="center"/>
    </xf>
    <xf numFmtId="49" fontId="16" fillId="0" borderId="0" xfId="2" applyNumberFormat="1" applyFont="1" applyBorder="1" applyAlignment="1">
      <alignment horizontal="center"/>
    </xf>
    <xf numFmtId="0" fontId="3" fillId="4" borderId="0" xfId="2" applyFont="1" applyFill="1" applyBorder="1"/>
    <xf numFmtId="0" fontId="8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32" fillId="0" borderId="0" xfId="2" applyFont="1"/>
    <xf numFmtId="0" fontId="14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/>
    </xf>
    <xf numFmtId="0" fontId="3" fillId="0" borderId="0" xfId="2" applyFont="1" applyBorder="1" applyProtection="1">
      <protection hidden="1"/>
    </xf>
    <xf numFmtId="0" fontId="3" fillId="0" borderId="0" xfId="2" applyFont="1" applyBorder="1" applyAlignment="1" applyProtection="1">
      <alignment horizontal="right"/>
      <protection hidden="1"/>
    </xf>
    <xf numFmtId="0" fontId="5" fillId="0" borderId="0" xfId="2" applyFont="1" applyBorder="1" applyAlignment="1" applyProtection="1">
      <alignment horizontal="right" vertical="center"/>
      <protection hidden="1"/>
    </xf>
    <xf numFmtId="0" fontId="5" fillId="0" borderId="0" xfId="2" applyFont="1" applyBorder="1" applyAlignment="1" applyProtection="1">
      <alignment horizontal="right"/>
      <protection hidden="1"/>
    </xf>
    <xf numFmtId="49" fontId="14" fillId="0" borderId="0" xfId="2" applyNumberFormat="1" applyFont="1" applyBorder="1" applyAlignment="1" applyProtection="1">
      <alignment horizontal="center"/>
    </xf>
    <xf numFmtId="0" fontId="14" fillId="0" borderId="0" xfId="2" applyNumberFormat="1" applyFont="1" applyBorder="1" applyAlignment="1" applyProtection="1">
      <alignment horizontal="center"/>
      <protection hidden="1"/>
    </xf>
    <xf numFmtId="0" fontId="32" fillId="0" borderId="0" xfId="2" applyFont="1" applyBorder="1" applyProtection="1"/>
    <xf numFmtId="0" fontId="32" fillId="0" borderId="0" xfId="2" applyFont="1" applyBorder="1"/>
    <xf numFmtId="0" fontId="34" fillId="0" borderId="0" xfId="2" applyFont="1" applyBorder="1" applyAlignment="1"/>
    <xf numFmtId="0" fontId="35" fillId="0" borderId="0" xfId="2" applyFont="1" applyBorder="1"/>
    <xf numFmtId="0" fontId="8" fillId="0" borderId="0" xfId="2" applyFont="1" applyBorder="1"/>
    <xf numFmtId="0" fontId="36" fillId="0" borderId="0" xfId="2" applyFont="1" applyBorder="1" applyProtection="1">
      <protection locked="0" hidden="1"/>
    </xf>
    <xf numFmtId="0" fontId="4" fillId="0" borderId="0" xfId="2" applyFont="1" applyBorder="1"/>
    <xf numFmtId="49" fontId="6" fillId="0" borderId="0" xfId="2" applyNumberFormat="1" applyFont="1" applyBorder="1" applyAlignment="1">
      <alignment horizontal="center"/>
    </xf>
    <xf numFmtId="0" fontId="1" fillId="0" borderId="0" xfId="0" applyFont="1" applyBorder="1" applyAlignment="1"/>
    <xf numFmtId="0" fontId="6" fillId="0" borderId="0" xfId="2" applyFont="1" applyBorder="1" applyAlignment="1">
      <alignment horizontal="center" vertical="center"/>
    </xf>
    <xf numFmtId="0" fontId="33" fillId="4" borderId="0" xfId="0" applyFont="1" applyFill="1" applyAlignment="1">
      <alignment horizontal="center"/>
    </xf>
    <xf numFmtId="0" fontId="33" fillId="4" borderId="0" xfId="0" applyFont="1" applyFill="1" applyBorder="1" applyAlignment="1">
      <alignment horizontal="center" vertical="top"/>
    </xf>
    <xf numFmtId="0" fontId="32" fillId="4" borderId="0" xfId="2" applyFont="1" applyFill="1" applyBorder="1"/>
    <xf numFmtId="0" fontId="32" fillId="4" borderId="0" xfId="2" applyFont="1" applyFill="1"/>
    <xf numFmtId="0" fontId="36" fillId="4" borderId="0" xfId="2" applyFont="1" applyFill="1"/>
    <xf numFmtId="0" fontId="32" fillId="4" borderId="0" xfId="2" applyFont="1" applyFill="1" applyProtection="1"/>
    <xf numFmtId="0" fontId="35" fillId="4" borderId="0" xfId="2" applyFont="1" applyFill="1"/>
    <xf numFmtId="0" fontId="37" fillId="4" borderId="0" xfId="2" applyFont="1" applyFill="1"/>
    <xf numFmtId="0" fontId="32" fillId="4" borderId="0" xfId="2" applyFont="1" applyFill="1" applyBorder="1" applyProtection="1"/>
    <xf numFmtId="0" fontId="32" fillId="4" borderId="0" xfId="2" applyFont="1" applyFill="1" applyAlignment="1"/>
    <xf numFmtId="49" fontId="32" fillId="4" borderId="0" xfId="2" applyNumberFormat="1" applyFont="1" applyFill="1"/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4" borderId="0" xfId="2" applyFont="1" applyFill="1" applyBorder="1" applyAlignment="1">
      <alignment horizontal="center"/>
    </xf>
    <xf numFmtId="49" fontId="8" fillId="4" borderId="0" xfId="2" applyNumberFormat="1" applyFont="1" applyFill="1" applyBorder="1" applyAlignment="1">
      <alignment horizontal="center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2" fillId="4" borderId="0" xfId="2" applyFont="1" applyFill="1" applyAlignment="1">
      <alignment horizontal="center" vertical="center"/>
    </xf>
    <xf numFmtId="49" fontId="3" fillId="4" borderId="0" xfId="2" applyNumberFormat="1" applyFont="1" applyFill="1" applyBorder="1"/>
    <xf numFmtId="0" fontId="32" fillId="4" borderId="0" xfId="2" applyFont="1" applyFill="1" applyBorder="1" applyAlignment="1">
      <alignment horizontal="center" vertical="center"/>
    </xf>
    <xf numFmtId="0" fontId="3" fillId="4" borderId="0" xfId="2" applyFont="1" applyFill="1" applyBorder="1" applyAlignment="1">
      <alignment horizontal="center" vertical="center"/>
    </xf>
    <xf numFmtId="1" fontId="3" fillId="4" borderId="3" xfId="2" applyNumberFormat="1" applyFont="1" applyFill="1" applyBorder="1" applyAlignment="1" applyProtection="1">
      <alignment horizontal="center" vertical="center"/>
      <protection locked="0"/>
    </xf>
    <xf numFmtId="0" fontId="38" fillId="4" borderId="0" xfId="0" applyFont="1" applyFill="1" applyBorder="1" applyAlignment="1">
      <alignment horizontal="center"/>
    </xf>
    <xf numFmtId="49" fontId="32" fillId="4" borderId="0" xfId="2" applyNumberFormat="1" applyFont="1" applyFill="1" applyBorder="1"/>
    <xf numFmtId="49" fontId="8" fillId="0" borderId="0" xfId="2" applyNumberFormat="1" applyFont="1" applyBorder="1"/>
    <xf numFmtId="0" fontId="3" fillId="0" borderId="0" xfId="2" applyFont="1" applyBorder="1" applyAlignment="1"/>
    <xf numFmtId="0" fontId="15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49" fontId="38" fillId="4" borderId="0" xfId="0" applyNumberFormat="1" applyFont="1" applyFill="1" applyBorder="1" applyAlignment="1">
      <alignment horizontal="center"/>
    </xf>
    <xf numFmtId="0" fontId="3" fillId="0" borderId="0" xfId="2" applyFont="1" applyFill="1" applyBorder="1"/>
    <xf numFmtId="0" fontId="4" fillId="4" borderId="1" xfId="2" applyNumberFormat="1" applyFont="1" applyFill="1" applyBorder="1" applyAlignment="1" applyProtection="1">
      <alignment horizontal="center"/>
    </xf>
    <xf numFmtId="0" fontId="5" fillId="4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top"/>
    </xf>
    <xf numFmtId="0" fontId="5" fillId="0" borderId="0" xfId="2" applyFont="1" applyFill="1" applyBorder="1" applyAlignment="1" applyProtection="1">
      <alignment horizontal="right" vertical="center"/>
    </xf>
    <xf numFmtId="0" fontId="3" fillId="0" borderId="0" xfId="2" applyFont="1" applyFill="1" applyBorder="1" applyProtection="1"/>
    <xf numFmtId="49" fontId="14" fillId="0" borderId="0" xfId="2" applyNumberFormat="1" applyFont="1" applyFill="1" applyBorder="1" applyAlignment="1" applyProtection="1">
      <alignment horizontal="center" vertical="center"/>
    </xf>
    <xf numFmtId="0" fontId="3" fillId="0" borderId="0" xfId="2" applyNumberFormat="1" applyFont="1" applyFill="1" applyBorder="1" applyAlignment="1" applyProtection="1">
      <alignment horizontal="center"/>
    </xf>
    <xf numFmtId="0" fontId="3" fillId="0" borderId="0" xfId="0" applyFont="1" applyFill="1" applyBorder="1"/>
    <xf numFmtId="1" fontId="8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 applyFill="1" applyBorder="1" applyProtection="1"/>
    <xf numFmtId="49" fontId="3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Alignment="1"/>
    <xf numFmtId="1" fontId="8" fillId="0" borderId="0" xfId="0" applyNumberFormat="1" applyFont="1" applyFill="1"/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8" fillId="0" borderId="0" xfId="0" applyNumberFormat="1" applyFont="1" applyFill="1"/>
    <xf numFmtId="0" fontId="8" fillId="0" borderId="0" xfId="0" applyNumberFormat="1" applyFont="1" applyFill="1" applyAlignment="1">
      <alignment horizontal="center"/>
    </xf>
    <xf numFmtId="1" fontId="8" fillId="0" borderId="1" xfId="0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textRotation="90"/>
    </xf>
    <xf numFmtId="1" fontId="3" fillId="4" borderId="0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1" fontId="8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 applyProtection="1">
      <alignment horizontal="left" wrapText="1" indent="1" shrinkToFit="1"/>
    </xf>
    <xf numFmtId="49" fontId="3" fillId="0" borderId="6" xfId="0" applyNumberFormat="1" applyFont="1" applyFill="1" applyBorder="1" applyAlignment="1" applyProtection="1">
      <alignment horizontal="left" vertical="center" wrapText="1" indent="2" shrinkToFit="1"/>
    </xf>
    <xf numFmtId="49" fontId="3" fillId="0" borderId="6" xfId="0" applyNumberFormat="1" applyFont="1" applyFill="1" applyBorder="1" applyAlignment="1" applyProtection="1">
      <alignment horizontal="left" vertical="center" wrapText="1" indent="2"/>
    </xf>
    <xf numFmtId="2" fontId="8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39" fillId="2" borderId="0" xfId="1" applyNumberFormat="1" applyFont="1" applyFill="1" applyBorder="1" applyAlignment="1" applyProtection="1">
      <alignment horizontal="center" vertical="center"/>
    </xf>
    <xf numFmtId="49" fontId="40" fillId="3" borderId="0" xfId="1" applyNumberFormat="1" applyFont="1" applyFill="1" applyBorder="1" applyAlignment="1" applyProtection="1">
      <alignment vertical="center" textRotation="90"/>
    </xf>
    <xf numFmtId="0" fontId="34" fillId="4" borderId="0" xfId="2" applyFont="1" applyFill="1" applyBorder="1" applyAlignment="1">
      <alignment horizontal="center"/>
    </xf>
    <xf numFmtId="0" fontId="3" fillId="4" borderId="9" xfId="2" applyFont="1" applyFill="1" applyBorder="1"/>
    <xf numFmtId="0" fontId="3" fillId="4" borderId="10" xfId="2" applyFont="1" applyFill="1" applyBorder="1"/>
    <xf numFmtId="49" fontId="3" fillId="4" borderId="11" xfId="2" applyNumberFormat="1" applyFont="1" applyFill="1" applyBorder="1"/>
    <xf numFmtId="0" fontId="3" fillId="4" borderId="10" xfId="2" applyFont="1" applyFill="1" applyBorder="1" applyAlignment="1">
      <alignment horizontal="right"/>
    </xf>
    <xf numFmtId="0" fontId="3" fillId="4" borderId="12" xfId="2" applyFont="1" applyFill="1" applyBorder="1"/>
    <xf numFmtId="0" fontId="3" fillId="4" borderId="13" xfId="2" applyFont="1" applyFill="1" applyBorder="1"/>
    <xf numFmtId="0" fontId="32" fillId="4" borderId="14" xfId="2" applyFont="1" applyFill="1" applyBorder="1"/>
    <xf numFmtId="0" fontId="32" fillId="4" borderId="15" xfId="2" applyFont="1" applyFill="1" applyBorder="1"/>
    <xf numFmtId="0" fontId="3" fillId="4" borderId="15" xfId="2" applyFont="1" applyFill="1" applyBorder="1"/>
    <xf numFmtId="49" fontId="32" fillId="4" borderId="15" xfId="2" applyNumberFormat="1" applyFont="1" applyFill="1" applyBorder="1"/>
    <xf numFmtId="0" fontId="32" fillId="4" borderId="16" xfId="2" applyFont="1" applyFill="1" applyBorder="1"/>
    <xf numFmtId="49" fontId="3" fillId="4" borderId="9" xfId="2" applyNumberFormat="1" applyFont="1" applyFill="1" applyBorder="1"/>
    <xf numFmtId="49" fontId="3" fillId="4" borderId="12" xfId="2" applyNumberFormat="1" applyFont="1" applyFill="1" applyBorder="1"/>
    <xf numFmtId="49" fontId="8" fillId="4" borderId="12" xfId="2" applyNumberFormat="1" applyFont="1" applyFill="1" applyBorder="1" applyAlignment="1">
      <alignment horizontal="center"/>
    </xf>
    <xf numFmtId="49" fontId="32" fillId="4" borderId="14" xfId="2" applyNumberFormat="1" applyFont="1" applyFill="1" applyBorder="1"/>
    <xf numFmtId="0" fontId="3" fillId="4" borderId="0" xfId="2" applyFont="1" applyFill="1" applyBorder="1" applyAlignment="1">
      <alignment vertical="center"/>
    </xf>
    <xf numFmtId="0" fontId="1" fillId="4" borderId="0" xfId="2" applyFont="1" applyFill="1" applyBorder="1" applyAlignment="1">
      <alignment horizontal="right"/>
    </xf>
    <xf numFmtId="0" fontId="3" fillId="4" borderId="14" xfId="2" applyFont="1" applyFill="1" applyBorder="1"/>
    <xf numFmtId="0" fontId="3" fillId="4" borderId="15" xfId="2" applyFont="1" applyFill="1" applyBorder="1" applyAlignment="1">
      <alignment horizontal="center" vertical="center"/>
    </xf>
    <xf numFmtId="49" fontId="3" fillId="4" borderId="14" xfId="2" applyNumberFormat="1" applyFont="1" applyFill="1" applyBorder="1"/>
    <xf numFmtId="49" fontId="3" fillId="4" borderId="15" xfId="2" applyNumberFormat="1" applyFont="1" applyFill="1" applyBorder="1"/>
    <xf numFmtId="0" fontId="3" fillId="4" borderId="16" xfId="2" applyFont="1" applyFill="1" applyBorder="1"/>
    <xf numFmtId="0" fontId="8" fillId="4" borderId="13" xfId="2" applyFont="1" applyFill="1" applyBorder="1" applyAlignment="1">
      <alignment horizontal="center"/>
    </xf>
    <xf numFmtId="0" fontId="32" fillId="4" borderId="15" xfId="2" applyFont="1" applyFill="1" applyBorder="1" applyAlignment="1">
      <alignment horizontal="center" vertical="center"/>
    </xf>
    <xf numFmtId="0" fontId="32" fillId="4" borderId="17" xfId="2" applyFont="1" applyFill="1" applyBorder="1"/>
    <xf numFmtId="0" fontId="32" fillId="4" borderId="13" xfId="2" applyFont="1" applyFill="1" applyBorder="1"/>
    <xf numFmtId="0" fontId="34" fillId="4" borderId="13" xfId="2" applyFont="1" applyFill="1" applyBorder="1" applyAlignment="1">
      <alignment horizontal="center"/>
    </xf>
    <xf numFmtId="0" fontId="32" fillId="4" borderId="13" xfId="2" applyFont="1" applyFill="1" applyBorder="1" applyAlignment="1">
      <alignment horizontal="center" vertical="center"/>
    </xf>
    <xf numFmtId="0" fontId="32" fillId="4" borderId="11" xfId="2" applyFont="1" applyFill="1" applyBorder="1"/>
    <xf numFmtId="0" fontId="32" fillId="4" borderId="0" xfId="2" applyFont="1" applyFill="1" applyBorder="1" applyAlignment="1" applyProtection="1">
      <alignment horizontal="center" vertical="center"/>
    </xf>
    <xf numFmtId="49" fontId="32" fillId="4" borderId="0" xfId="2" applyNumberFormat="1" applyFont="1" applyFill="1" applyBorder="1" applyProtection="1"/>
    <xf numFmtId="0" fontId="32" fillId="4" borderId="0" xfId="2" applyFont="1" applyFill="1" applyBorder="1" applyAlignment="1">
      <alignment vertical="center"/>
    </xf>
    <xf numFmtId="0" fontId="32" fillId="0" borderId="0" xfId="2" applyFont="1" applyFill="1" applyBorder="1"/>
    <xf numFmtId="0" fontId="32" fillId="0" borderId="0" xfId="2" applyFont="1" applyFill="1" applyBorder="1" applyAlignment="1">
      <alignment horizontal="center" vertical="center"/>
    </xf>
    <xf numFmtId="49" fontId="32" fillId="0" borderId="0" xfId="2" applyNumberFormat="1" applyFont="1" applyFill="1" applyBorder="1"/>
    <xf numFmtId="49" fontId="22" fillId="0" borderId="5" xfId="0" applyNumberFormat="1" applyFont="1" applyFill="1" applyBorder="1" applyAlignment="1" applyProtection="1">
      <alignment horizontal="left" vertical="center" wrapText="1" shrinkToFit="1"/>
    </xf>
    <xf numFmtId="0" fontId="35" fillId="4" borderId="0" xfId="2" applyFont="1" applyFill="1" applyBorder="1"/>
    <xf numFmtId="0" fontId="35" fillId="4" borderId="0" xfId="2" applyFont="1" applyFill="1" applyBorder="1" applyAlignment="1">
      <alignment horizontal="center" vertical="center"/>
    </xf>
    <xf numFmtId="0" fontId="35" fillId="4" borderId="0" xfId="2" applyFont="1" applyFill="1" applyBorder="1" applyAlignment="1">
      <alignment vertical="center"/>
    </xf>
    <xf numFmtId="0" fontId="3" fillId="5" borderId="3" xfId="2" applyFont="1" applyFill="1" applyBorder="1" applyAlignment="1" applyProtection="1">
      <alignment horizontal="center" vertical="center"/>
      <protection locked="0"/>
    </xf>
    <xf numFmtId="49" fontId="35" fillId="4" borderId="0" xfId="2" applyNumberFormat="1" applyFont="1" applyFill="1" applyBorder="1" applyAlignment="1">
      <alignment horizontal="center" vertical="center"/>
    </xf>
    <xf numFmtId="49" fontId="35" fillId="4" borderId="0" xfId="2" applyNumberFormat="1" applyFont="1" applyFill="1" applyBorder="1" applyAlignment="1">
      <alignment vertical="center"/>
    </xf>
    <xf numFmtId="0" fontId="8" fillId="0" borderId="0" xfId="2" applyFont="1" applyBorder="1" applyAlignment="1" applyProtection="1">
      <alignment horizontal="left"/>
    </xf>
    <xf numFmtId="0" fontId="13" fillId="0" borderId="0" xfId="2" applyFont="1" applyBorder="1" applyProtection="1"/>
    <xf numFmtId="49" fontId="16" fillId="0" borderId="0" xfId="2" applyNumberFormat="1" applyFont="1" applyBorder="1" applyAlignment="1" applyProtection="1">
      <alignment horizontal="center"/>
    </xf>
    <xf numFmtId="0" fontId="5" fillId="0" borderId="0" xfId="2" applyNumberFormat="1" applyFont="1" applyBorder="1" applyAlignment="1" applyProtection="1">
      <alignment horizontal="center" vertical="center"/>
    </xf>
    <xf numFmtId="49" fontId="5" fillId="0" borderId="0" xfId="2" applyNumberFormat="1" applyFont="1" applyBorder="1" applyAlignment="1" applyProtection="1">
      <alignment horizontal="center"/>
    </xf>
    <xf numFmtId="0" fontId="41" fillId="0" borderId="0" xfId="0" applyFont="1" applyFill="1" applyBorder="1"/>
    <xf numFmtId="49" fontId="42" fillId="0" borderId="6" xfId="0" applyNumberFormat="1" applyFont="1" applyFill="1" applyBorder="1" applyAlignment="1" applyProtection="1">
      <alignment horizontal="left" vertical="center" wrapText="1" indent="4"/>
    </xf>
    <xf numFmtId="0" fontId="32" fillId="0" borderId="0" xfId="2" applyFont="1" applyFill="1"/>
    <xf numFmtId="0" fontId="32" fillId="0" borderId="0" xfId="2" applyFont="1" applyBorder="1" applyAlignment="1" applyProtection="1">
      <alignment horizontal="center" vertical="center"/>
    </xf>
    <xf numFmtId="0" fontId="3" fillId="0" borderId="12" xfId="2" applyNumberFormat="1" applyFont="1" applyFill="1" applyBorder="1" applyAlignment="1">
      <alignment horizontal="center" vertical="center"/>
    </xf>
    <xf numFmtId="0" fontId="37" fillId="0" borderId="0" xfId="2" applyFont="1" applyBorder="1" applyAlignment="1" applyProtection="1">
      <alignment horizontal="right" vertical="center"/>
    </xf>
    <xf numFmtId="0" fontId="43" fillId="0" borderId="0" xfId="2" applyNumberFormat="1" applyFont="1" applyBorder="1" applyAlignment="1" applyProtection="1">
      <alignment horizontal="center"/>
      <protection hidden="1"/>
    </xf>
    <xf numFmtId="0" fontId="1" fillId="0" borderId="1" xfId="2" applyFont="1" applyBorder="1" applyAlignment="1" applyProtection="1">
      <alignment horizontal="center"/>
    </xf>
    <xf numFmtId="49" fontId="5" fillId="0" borderId="5" xfId="0" applyNumberFormat="1" applyFont="1" applyFill="1" applyBorder="1" applyAlignment="1" applyProtection="1">
      <alignment horizontal="left" vertical="center" wrapText="1" indent="1" shrinkToFit="1"/>
    </xf>
    <xf numFmtId="0" fontId="5" fillId="4" borderId="0" xfId="2" applyFont="1" applyFill="1" applyBorder="1" applyAlignment="1">
      <alignment vertical="center"/>
    </xf>
    <xf numFmtId="0" fontId="5" fillId="4" borderId="0" xfId="2" applyFont="1" applyFill="1"/>
    <xf numFmtId="0" fontId="3" fillId="4" borderId="0" xfId="2" applyFont="1" applyFill="1" applyBorder="1" applyProtection="1"/>
    <xf numFmtId="0" fontId="3" fillId="4" borderId="0" xfId="2" applyFont="1" applyFill="1" applyBorder="1" applyAlignment="1" applyProtection="1">
      <alignment horizontal="center" vertical="center" textRotation="90"/>
    </xf>
    <xf numFmtId="1" fontId="7" fillId="4" borderId="0" xfId="2" applyNumberFormat="1" applyFont="1" applyFill="1" applyBorder="1" applyAlignment="1" applyProtection="1">
      <alignment horizontal="center"/>
    </xf>
    <xf numFmtId="2" fontId="7" fillId="4" borderId="0" xfId="2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/>
    <xf numFmtId="1" fontId="7" fillId="0" borderId="0" xfId="2" applyNumberFormat="1" applyFont="1" applyFill="1" applyBorder="1" applyAlignment="1">
      <alignment horizontal="center"/>
    </xf>
    <xf numFmtId="2" fontId="7" fillId="0" borderId="0" xfId="2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textRotation="90"/>
    </xf>
    <xf numFmtId="0" fontId="7" fillId="0" borderId="0" xfId="2" applyFont="1" applyFill="1" applyBorder="1" applyAlignment="1">
      <alignment horizontal="center" vertical="center" textRotation="90"/>
    </xf>
    <xf numFmtId="0" fontId="37" fillId="4" borderId="0" xfId="2" applyFont="1" applyFill="1" applyBorder="1" applyAlignment="1">
      <alignment vertical="center"/>
    </xf>
    <xf numFmtId="0" fontId="44" fillId="4" borderId="0" xfId="2" applyFont="1" applyFill="1" applyBorder="1" applyAlignment="1">
      <alignment horizontal="right"/>
    </xf>
    <xf numFmtId="0" fontId="45" fillId="4" borderId="0" xfId="2" applyFont="1" applyFill="1" applyBorder="1" applyAlignment="1">
      <alignment horizontal="left" vertical="center"/>
    </xf>
    <xf numFmtId="0" fontId="45" fillId="4" borderId="0" xfId="2" applyFont="1" applyFill="1" applyAlignment="1">
      <alignment horizontal="left" vertical="center"/>
    </xf>
    <xf numFmtId="0" fontId="42" fillId="4" borderId="0" xfId="2" applyFont="1" applyFill="1"/>
    <xf numFmtId="0" fontId="42" fillId="4" borderId="0" xfId="2" applyFont="1" applyFill="1" applyBorder="1"/>
    <xf numFmtId="0" fontId="42" fillId="0" borderId="0" xfId="2" applyFont="1" applyFill="1" applyBorder="1"/>
    <xf numFmtId="0" fontId="7" fillId="4" borderId="0" xfId="2" applyFont="1" applyFill="1" applyBorder="1" applyAlignment="1" applyProtection="1">
      <alignment horizontal="center" textRotation="90"/>
    </xf>
    <xf numFmtId="0" fontId="32" fillId="0" borderId="0" xfId="2" applyFont="1" applyProtection="1"/>
    <xf numFmtId="0" fontId="46" fillId="0" borderId="0" xfId="2" applyFont="1" applyFill="1" applyBorder="1" applyAlignment="1" applyProtection="1">
      <alignment horizontal="left" vertical="center"/>
    </xf>
    <xf numFmtId="0" fontId="37" fillId="0" borderId="0" xfId="2" applyFont="1" applyProtection="1"/>
    <xf numFmtId="0" fontId="37" fillId="0" borderId="0" xfId="2" applyFont="1"/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/>
    <xf numFmtId="0" fontId="42" fillId="0" borderId="0" xfId="2" applyFont="1" applyProtection="1"/>
    <xf numFmtId="0" fontId="42" fillId="0" borderId="0" xfId="2" applyFont="1"/>
    <xf numFmtId="0" fontId="8" fillId="0" borderId="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protection hidden="1"/>
    </xf>
    <xf numFmtId="0" fontId="8" fillId="0" borderId="0" xfId="0" applyFont="1" applyFill="1" applyAlignment="1" applyProtection="1">
      <protection hidden="1"/>
    </xf>
    <xf numFmtId="49" fontId="8" fillId="0" borderId="0" xfId="0" applyNumberFormat="1" applyFont="1" applyFill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7" xfId="0" applyNumberFormat="1" applyFont="1" applyFill="1" applyBorder="1" applyAlignment="1">
      <alignment horizontal="left"/>
    </xf>
    <xf numFmtId="0" fontId="8" fillId="0" borderId="7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2" fontId="8" fillId="0" borderId="2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/>
    </xf>
    <xf numFmtId="2" fontId="8" fillId="0" borderId="2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Border="1"/>
    <xf numFmtId="0" fontId="8" fillId="0" borderId="0" xfId="0" applyNumberFormat="1" applyFont="1" applyFill="1" applyBorder="1"/>
    <xf numFmtId="49" fontId="8" fillId="0" borderId="7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32" fillId="0" borderId="0" xfId="2" applyNumberFormat="1" applyFont="1"/>
    <xf numFmtId="0" fontId="3" fillId="0" borderId="1" xfId="2" applyFont="1" applyBorder="1" applyAlignment="1" applyProtection="1">
      <alignment horizontal="left"/>
      <protection hidden="1"/>
    </xf>
    <xf numFmtId="0" fontId="3" fillId="0" borderId="2" xfId="2" applyFont="1" applyBorder="1" applyAlignment="1" applyProtection="1">
      <alignment horizontal="left"/>
      <protection hidden="1"/>
    </xf>
    <xf numFmtId="0" fontId="24" fillId="0" borderId="0" xfId="0" applyFont="1" applyFill="1" applyBorder="1" applyAlignment="1">
      <alignment horizontal="center" vertical="center"/>
    </xf>
    <xf numFmtId="0" fontId="14" fillId="0" borderId="0" xfId="2" applyNumberFormat="1" applyFont="1" applyBorder="1" applyAlignment="1" applyProtection="1">
      <alignment horizontal="center" vertical="center"/>
    </xf>
    <xf numFmtId="0" fontId="42" fillId="0" borderId="0" xfId="2" applyFont="1" applyBorder="1"/>
    <xf numFmtId="0" fontId="47" fillId="0" borderId="0" xfId="2" applyFont="1" applyBorder="1" applyAlignment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center" wrapText="1" shrinkToFit="1"/>
    </xf>
    <xf numFmtId="49" fontId="26" fillId="0" borderId="0" xfId="0" applyNumberFormat="1" applyFont="1" applyFill="1" applyBorder="1" applyAlignment="1" applyProtection="1">
      <alignment horizontal="center"/>
    </xf>
    <xf numFmtId="49" fontId="3" fillId="0" borderId="4" xfId="0" applyNumberFormat="1" applyFont="1" applyFill="1" applyBorder="1" applyAlignment="1" applyProtection="1">
      <alignment horizontal="left" vertical="center" wrapText="1" indent="2"/>
    </xf>
    <xf numFmtId="0" fontId="4" fillId="4" borderId="2" xfId="2" applyNumberFormat="1" applyFont="1" applyFill="1" applyBorder="1" applyAlignment="1" applyProtection="1">
      <alignment horizontal="center"/>
    </xf>
    <xf numFmtId="0" fontId="36" fillId="0" borderId="0" xfId="2" applyFont="1"/>
    <xf numFmtId="0" fontId="37" fillId="0" borderId="0" xfId="2" applyFont="1" applyAlignment="1" applyProtection="1">
      <alignment horizontal="left"/>
    </xf>
    <xf numFmtId="0" fontId="35" fillId="0" borderId="0" xfId="2" applyFont="1"/>
    <xf numFmtId="0" fontId="48" fillId="0" borderId="0" xfId="2" applyFont="1"/>
    <xf numFmtId="0" fontId="47" fillId="0" borderId="0" xfId="2" applyFont="1"/>
    <xf numFmtId="0" fontId="49" fillId="0" borderId="0" xfId="2" applyFont="1"/>
    <xf numFmtId="0" fontId="42" fillId="0" borderId="0" xfId="2" applyFont="1" applyBorder="1" applyProtection="1"/>
    <xf numFmtId="0" fontId="42" fillId="0" borderId="0" xfId="2" applyFont="1" applyBorder="1" applyAlignment="1">
      <alignment horizontal="left" indent="4"/>
    </xf>
    <xf numFmtId="0" fontId="32" fillId="0" borderId="0" xfId="2" applyFont="1" applyBorder="1" applyAlignment="1">
      <alignment horizontal="left"/>
    </xf>
    <xf numFmtId="0" fontId="37" fillId="0" borderId="0" xfId="2" applyFont="1" applyBorder="1"/>
    <xf numFmtId="0" fontId="32" fillId="0" borderId="0" xfId="2" applyFont="1" applyAlignment="1">
      <alignment horizontal="left"/>
    </xf>
    <xf numFmtId="0" fontId="36" fillId="0" borderId="0" xfId="2" applyFont="1" applyAlignment="1">
      <alignment horizontal="left"/>
    </xf>
    <xf numFmtId="0" fontId="50" fillId="0" borderId="0" xfId="2" applyFont="1"/>
    <xf numFmtId="0" fontId="32" fillId="0" borderId="0" xfId="2" applyFont="1" applyAlignment="1" applyProtection="1">
      <alignment horizontal="left"/>
    </xf>
    <xf numFmtId="49" fontId="32" fillId="0" borderId="0" xfId="2" applyNumberFormat="1" applyFont="1" applyAlignment="1">
      <alignment horizontal="left"/>
    </xf>
    <xf numFmtId="0" fontId="46" fillId="0" borderId="0" xfId="2" applyFont="1"/>
    <xf numFmtId="0" fontId="32" fillId="0" borderId="0" xfId="2" applyFont="1" applyBorder="1" applyAlignment="1" applyProtection="1">
      <alignment horizontal="left"/>
    </xf>
    <xf numFmtId="0" fontId="37" fillId="0" borderId="0" xfId="2" applyFont="1" applyBorder="1" applyProtection="1"/>
    <xf numFmtId="0" fontId="32" fillId="4" borderId="0" xfId="2" applyFont="1" applyFill="1" applyBorder="1" applyAlignment="1">
      <alignment horizontal="left"/>
    </xf>
    <xf numFmtId="0" fontId="37" fillId="4" borderId="0" xfId="2" applyFont="1" applyFill="1" applyBorder="1"/>
    <xf numFmtId="0" fontId="32" fillId="4" borderId="0" xfId="2" applyFont="1" applyFill="1" applyAlignment="1">
      <alignment horizontal="left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>
      <alignment vertical="center"/>
    </xf>
    <xf numFmtId="49" fontId="47" fillId="0" borderId="6" xfId="0" applyNumberFormat="1" applyFont="1" applyFill="1" applyBorder="1" applyAlignment="1" applyProtection="1">
      <alignment horizontal="left" vertical="center" wrapText="1" indent="2" shrinkToFit="1"/>
    </xf>
    <xf numFmtId="49" fontId="47" fillId="0" borderId="4" xfId="0" applyNumberFormat="1" applyFont="1" applyFill="1" applyBorder="1" applyAlignment="1" applyProtection="1">
      <alignment horizontal="left" vertical="top" wrapText="1" indent="2" shrinkToFit="1"/>
    </xf>
    <xf numFmtId="49" fontId="51" fillId="0" borderId="0" xfId="0" applyNumberFormat="1" applyFont="1" applyFill="1" applyBorder="1" applyAlignment="1" applyProtection="1">
      <alignment horizontal="center" vertical="center" wrapText="1" shrinkToFit="1"/>
    </xf>
    <xf numFmtId="49" fontId="3" fillId="0" borderId="6" xfId="0" applyNumberFormat="1" applyFont="1" applyFill="1" applyBorder="1" applyAlignment="1" applyProtection="1">
      <alignment horizontal="left" vertical="center" wrapText="1" indent="3" shrinkToFit="1"/>
    </xf>
    <xf numFmtId="49" fontId="42" fillId="0" borderId="21" xfId="0" applyNumberFormat="1" applyFont="1" applyFill="1" applyBorder="1" applyAlignment="1" applyProtection="1">
      <alignment horizontal="left" vertical="center" wrapText="1" indent="3"/>
    </xf>
    <xf numFmtId="49" fontId="3" fillId="0" borderId="21" xfId="0" applyNumberFormat="1" applyFont="1" applyFill="1" applyBorder="1" applyAlignment="1" applyProtection="1">
      <alignment horizontal="left" vertical="center" indent="3"/>
    </xf>
    <xf numFmtId="49" fontId="42" fillId="0" borderId="6" xfId="0" applyNumberFormat="1" applyFont="1" applyFill="1" applyBorder="1" applyAlignment="1" applyProtection="1">
      <alignment horizontal="left" vertical="top" wrapText="1" indent="3"/>
    </xf>
    <xf numFmtId="49" fontId="3" fillId="0" borderId="4" xfId="0" applyNumberFormat="1" applyFont="1" applyFill="1" applyBorder="1" applyAlignment="1" applyProtection="1">
      <alignment horizontal="left" vertical="center" indent="3"/>
    </xf>
    <xf numFmtId="0" fontId="32" fillId="0" borderId="0" xfId="2" applyFont="1" applyBorder="1" applyProtection="1">
      <protection hidden="1"/>
    </xf>
    <xf numFmtId="49" fontId="52" fillId="0" borderId="6" xfId="0" applyNumberFormat="1" applyFont="1" applyFill="1" applyBorder="1" applyAlignment="1" applyProtection="1">
      <alignment horizontal="left" vertical="center" wrapText="1" indent="3"/>
    </xf>
    <xf numFmtId="0" fontId="24" fillId="0" borderId="0" xfId="0" applyFont="1" applyFill="1" applyBorder="1" applyAlignment="1">
      <alignment horizontal="center" vertical="top"/>
    </xf>
    <xf numFmtId="0" fontId="5" fillId="0" borderId="0" xfId="2" applyFont="1" applyFill="1" applyBorder="1" applyAlignment="1" applyProtection="1">
      <alignment horizontal="right"/>
    </xf>
    <xf numFmtId="0" fontId="54" fillId="0" borderId="0" xfId="0" applyFont="1" applyFill="1" applyBorder="1"/>
    <xf numFmtId="0" fontId="55" fillId="0" borderId="0" xfId="0" applyFont="1" applyFill="1" applyBorder="1"/>
    <xf numFmtId="0" fontId="54" fillId="0" borderId="0" xfId="0" applyFont="1" applyFill="1"/>
    <xf numFmtId="0" fontId="56" fillId="0" borderId="0" xfId="0" applyFont="1" applyFill="1" applyBorder="1" applyAlignment="1" applyProtection="1">
      <alignment vertical="top"/>
    </xf>
    <xf numFmtId="0" fontId="56" fillId="0" borderId="0" xfId="0" applyFont="1" applyFill="1" applyBorder="1" applyAlignment="1">
      <alignment horizontal="center" vertical="top"/>
    </xf>
    <xf numFmtId="1" fontId="8" fillId="6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/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17" fillId="0" borderId="0" xfId="2" applyFont="1" applyBorder="1" applyAlignment="1" applyProtection="1">
      <alignment vertical="center"/>
    </xf>
    <xf numFmtId="0" fontId="5" fillId="0" borderId="0" xfId="2" applyFont="1" applyFill="1" applyBorder="1" applyAlignment="1">
      <alignment horizontal="right"/>
    </xf>
    <xf numFmtId="0" fontId="59" fillId="0" borderId="0" xfId="2" applyFont="1" applyBorder="1" applyAlignment="1">
      <alignment horizontal="left"/>
    </xf>
    <xf numFmtId="49" fontId="59" fillId="0" borderId="0" xfId="2" applyNumberFormat="1" applyFont="1" applyBorder="1" applyAlignment="1" applyProtection="1">
      <alignment horizontal="left"/>
    </xf>
    <xf numFmtId="0" fontId="53" fillId="0" borderId="0" xfId="0" applyNumberFormat="1" applyFont="1" applyBorder="1" applyAlignment="1" applyProtection="1">
      <alignment horizontal="left"/>
    </xf>
    <xf numFmtId="0" fontId="53" fillId="0" borderId="1" xfId="2" applyNumberFormat="1" applyFont="1" applyFill="1" applyBorder="1" applyAlignment="1" applyProtection="1">
      <alignment horizontal="center" vertical="center"/>
      <protection locked="0"/>
    </xf>
    <xf numFmtId="0" fontId="16" fillId="0" borderId="0" xfId="2" applyFont="1" applyFill="1" applyBorder="1" applyAlignment="1" applyProtection="1">
      <alignment horizontal="right"/>
    </xf>
    <xf numFmtId="0" fontId="4" fillId="0" borderId="0" xfId="0" applyFont="1" applyFill="1"/>
    <xf numFmtId="0" fontId="50" fillId="0" borderId="0" xfId="2" applyNumberFormat="1" applyFont="1" applyBorder="1" applyAlignment="1" applyProtection="1">
      <alignment horizontal="center"/>
      <protection hidden="1"/>
    </xf>
    <xf numFmtId="0" fontId="16" fillId="0" borderId="0" xfId="2" applyFont="1" applyFill="1" applyBorder="1" applyAlignment="1">
      <alignment horizontal="right" vertical="center"/>
    </xf>
    <xf numFmtId="0" fontId="4" fillId="0" borderId="0" xfId="2" applyFont="1" applyFill="1" applyBorder="1"/>
    <xf numFmtId="49" fontId="4" fillId="0" borderId="0" xfId="2" applyNumberFormat="1" applyFont="1" applyFill="1" applyBorder="1"/>
    <xf numFmtId="49" fontId="47" fillId="0" borderId="0" xfId="2" applyNumberFormat="1" applyFont="1" applyBorder="1" applyAlignment="1">
      <alignment vertical="center"/>
    </xf>
    <xf numFmtId="0" fontId="3" fillId="0" borderId="0" xfId="2" applyFont="1" applyBorder="1" applyAlignment="1" applyProtection="1">
      <alignment vertical="top" wrapText="1"/>
    </xf>
    <xf numFmtId="49" fontId="5" fillId="4" borderId="10" xfId="2" applyNumberFormat="1" applyFont="1" applyFill="1" applyBorder="1" applyAlignment="1"/>
    <xf numFmtId="0" fontId="53" fillId="0" borderId="1" xfId="2" applyNumberFormat="1" applyFont="1" applyBorder="1" applyAlignment="1" applyProtection="1"/>
    <xf numFmtId="0" fontId="0" fillId="0" borderId="0" xfId="0" applyBorder="1" applyAlignment="1"/>
    <xf numFmtId="0" fontId="21" fillId="0" borderId="0" xfId="2" applyFont="1" applyBorder="1" applyAlignment="1" applyProtection="1"/>
    <xf numFmtId="0" fontId="21" fillId="0" borderId="0" xfId="0" applyFont="1" applyBorder="1" applyAlignment="1" applyProtection="1"/>
    <xf numFmtId="0" fontId="1" fillId="0" borderId="1" xfId="2" applyNumberFormat="1" applyFont="1" applyBorder="1" applyAlignment="1" applyProtection="1"/>
    <xf numFmtId="0" fontId="0" fillId="0" borderId="1" xfId="0" applyNumberFormat="1" applyBorder="1" applyAlignment="1" applyProtection="1"/>
    <xf numFmtId="0" fontId="58" fillId="0" borderId="0" xfId="0" applyFont="1" applyFill="1" applyBorder="1" applyAlignment="1">
      <alignment horizontal="right"/>
    </xf>
    <xf numFmtId="0" fontId="5" fillId="0" borderId="1" xfId="0" applyNumberFormat="1" applyFont="1" applyFill="1" applyBorder="1" applyAlignment="1" applyProtection="1">
      <protection locked="0"/>
    </xf>
    <xf numFmtId="0" fontId="5" fillId="0" borderId="1" xfId="0" applyNumberFormat="1" applyFont="1" applyFill="1" applyBorder="1" applyAlignment="1" applyProtection="1">
      <alignment horizontal="left"/>
      <protection locked="0"/>
    </xf>
    <xf numFmtId="0" fontId="8" fillId="4" borderId="1" xfId="2" applyFont="1" applyFill="1" applyBorder="1" applyAlignment="1"/>
    <xf numFmtId="0" fontId="8" fillId="4" borderId="1" xfId="0" applyFont="1" applyFill="1" applyBorder="1" applyAlignment="1"/>
    <xf numFmtId="49" fontId="0" fillId="4" borderId="0" xfId="0" applyNumberFormat="1" applyFill="1" applyBorder="1" applyAlignment="1"/>
    <xf numFmtId="49" fontId="5" fillId="4" borderId="0" xfId="2" applyNumberFormat="1" applyFont="1" applyFill="1" applyBorder="1" applyAlignment="1"/>
    <xf numFmtId="49" fontId="0" fillId="4" borderId="0" xfId="0" applyNumberFormat="1" applyFill="1" applyBorder="1" applyAlignment="1">
      <alignment horizontal="left"/>
    </xf>
    <xf numFmtId="0" fontId="60" fillId="0" borderId="0" xfId="2" applyNumberFormat="1" applyFont="1" applyBorder="1" applyAlignment="1" applyProtection="1">
      <alignment horizontal="center"/>
    </xf>
    <xf numFmtId="49" fontId="19" fillId="0" borderId="0" xfId="0" applyNumberFormat="1" applyFont="1" applyBorder="1" applyAlignment="1" applyProtection="1"/>
    <xf numFmtId="0" fontId="32" fillId="0" borderId="0" xfId="2" applyFont="1" applyFill="1" applyBorder="1" applyProtection="1"/>
    <xf numFmtId="0" fontId="38" fillId="0" borderId="0" xfId="0" applyFont="1" applyFill="1" applyBorder="1" applyAlignment="1">
      <alignment horizontal="center"/>
    </xf>
    <xf numFmtId="0" fontId="32" fillId="0" borderId="0" xfId="2" applyFont="1" applyFill="1" applyBorder="1" applyAlignment="1">
      <alignment horizontal="center"/>
    </xf>
    <xf numFmtId="0" fontId="37" fillId="0" borderId="0" xfId="2" applyNumberFormat="1" applyFont="1" applyFill="1" applyBorder="1" applyAlignment="1" applyProtection="1">
      <alignment horizontal="center" vertical="center"/>
    </xf>
    <xf numFmtId="0" fontId="37" fillId="0" borderId="0" xfId="2" applyFont="1" applyFill="1" applyBorder="1"/>
    <xf numFmtId="0" fontId="3" fillId="0" borderId="0" xfId="2" applyFont="1" applyBorder="1" applyAlignment="1">
      <alignment horizontal="left"/>
    </xf>
    <xf numFmtId="0" fontId="5" fillId="0" borderId="0" xfId="2" applyFont="1" applyBorder="1" applyAlignment="1">
      <alignment horizontal="left"/>
    </xf>
    <xf numFmtId="1" fontId="14" fillId="0" borderId="0" xfId="2" applyNumberFormat="1" applyFont="1" applyBorder="1" applyAlignment="1" applyProtection="1">
      <alignment horizontal="left"/>
    </xf>
    <xf numFmtId="49" fontId="6" fillId="0" borderId="0" xfId="2" applyNumberFormat="1" applyFont="1" applyBorder="1" applyAlignment="1">
      <alignment horizontal="left"/>
    </xf>
    <xf numFmtId="0" fontId="0" fillId="0" borderId="0" xfId="0" applyBorder="1" applyAlignment="1" applyProtection="1">
      <alignment horizontal="left"/>
    </xf>
    <xf numFmtId="1" fontId="14" fillId="0" borderId="0" xfId="2" applyNumberFormat="1" applyFont="1" applyBorder="1" applyAlignment="1">
      <alignment horizontal="left"/>
    </xf>
    <xf numFmtId="0" fontId="58" fillId="0" borderId="0" xfId="0" applyFont="1" applyBorder="1" applyAlignment="1">
      <alignment vertical="center"/>
    </xf>
    <xf numFmtId="0" fontId="47" fillId="0" borderId="0" xfId="2" applyFont="1" applyFill="1" applyBorder="1"/>
    <xf numFmtId="49" fontId="5" fillId="4" borderId="23" xfId="2" applyNumberFormat="1" applyFont="1" applyFill="1" applyBorder="1" applyAlignment="1"/>
    <xf numFmtId="49" fontId="16" fillId="0" borderId="0" xfId="0" applyNumberFormat="1" applyFont="1" applyFill="1" applyBorder="1" applyAlignment="1" applyProtection="1">
      <alignment horizontal="left" vertical="top" wrapText="1" shrinkToFit="1"/>
    </xf>
    <xf numFmtId="49" fontId="61" fillId="0" borderId="0" xfId="0" applyNumberFormat="1" applyFont="1" applyFill="1" applyBorder="1" applyAlignment="1" applyProtection="1">
      <alignment horizontal="left" wrapText="1" shrinkToFit="1"/>
    </xf>
    <xf numFmtId="49" fontId="3" fillId="0" borderId="0" xfId="0" applyNumberFormat="1" applyFont="1" applyFill="1" applyBorder="1" applyAlignment="1" applyProtection="1">
      <alignment horizontal="left" vertical="center" wrapText="1" indent="1" shrinkToFit="1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vertical="top" wrapText="1" indent="2"/>
    </xf>
    <xf numFmtId="49" fontId="3" fillId="0" borderId="0" xfId="0" applyNumberFormat="1" applyFont="1" applyFill="1" applyBorder="1" applyAlignment="1" applyProtection="1">
      <alignment horizontal="left" vertical="top" wrapText="1"/>
    </xf>
    <xf numFmtId="49" fontId="62" fillId="0" borderId="0" xfId="0" applyNumberFormat="1" applyFont="1" applyFill="1" applyBorder="1" applyAlignment="1" applyProtection="1">
      <alignment horizontal="left" vertical="top" wrapText="1"/>
    </xf>
    <xf numFmtId="49" fontId="61" fillId="0" borderId="0" xfId="0" applyNumberFormat="1" applyFont="1" applyFill="1" applyBorder="1" applyAlignment="1" applyProtection="1">
      <alignment horizontal="left" vertical="center" wrapText="1" shrinkToFit="1"/>
    </xf>
    <xf numFmtId="49" fontId="3" fillId="0" borderId="0" xfId="0" applyNumberFormat="1" applyFont="1" applyFill="1" applyBorder="1" applyAlignment="1" applyProtection="1">
      <alignment horizontal="left" vertical="center" wrapText="1" indent="1"/>
    </xf>
    <xf numFmtId="49" fontId="3" fillId="0" borderId="0" xfId="0" applyNumberFormat="1" applyFont="1" applyFill="1" applyBorder="1" applyAlignment="1" applyProtection="1">
      <alignment horizontal="left" vertical="top" wrapText="1" shrinkToFit="1"/>
    </xf>
    <xf numFmtId="49" fontId="3" fillId="0" borderId="0" xfId="0" applyNumberFormat="1" applyFont="1" applyFill="1" applyBorder="1" applyAlignment="1" applyProtection="1">
      <alignment vertical="top" wrapText="1" shrinkToFit="1"/>
    </xf>
    <xf numFmtId="0" fontId="58" fillId="0" borderId="0" xfId="0" applyFont="1" applyBorder="1" applyAlignment="1"/>
    <xf numFmtId="0" fontId="58" fillId="0" borderId="0" xfId="0" applyFont="1" applyBorder="1" applyAlignment="1">
      <alignment horizontal="left"/>
    </xf>
    <xf numFmtId="0" fontId="0" fillId="4" borderId="3" xfId="0" applyFill="1" applyBorder="1" applyAlignment="1" applyProtection="1">
      <alignment horizontal="center" vertical="center"/>
      <protection locked="0"/>
    </xf>
    <xf numFmtId="49" fontId="3" fillId="0" borderId="0" xfId="2" applyNumberFormat="1" applyFont="1" applyBorder="1" applyProtection="1"/>
    <xf numFmtId="0" fontId="47" fillId="0" borderId="0" xfId="2" applyFont="1" applyFill="1" applyProtection="1"/>
    <xf numFmtId="49" fontId="3" fillId="0" borderId="0" xfId="2" applyNumberFormat="1" applyFont="1" applyProtection="1"/>
    <xf numFmtId="0" fontId="3" fillId="0" borderId="0" xfId="2" applyFont="1" applyFill="1" applyProtection="1"/>
    <xf numFmtId="0" fontId="32" fillId="0" borderId="0" xfId="2" applyFont="1" applyFill="1" applyProtection="1"/>
    <xf numFmtId="0" fontId="3" fillId="0" borderId="0" xfId="2" applyNumberFormat="1" applyFont="1" applyFill="1" applyBorder="1" applyAlignment="1" applyProtection="1">
      <alignment horizontal="left"/>
    </xf>
    <xf numFmtId="49" fontId="32" fillId="4" borderId="0" xfId="2" applyNumberFormat="1" applyFont="1" applyFill="1" applyProtection="1"/>
    <xf numFmtId="0" fontId="3" fillId="4" borderId="0" xfId="2" applyFont="1" applyFill="1" applyProtection="1"/>
    <xf numFmtId="0" fontId="3" fillId="4" borderId="24" xfId="2" applyFont="1" applyFill="1" applyBorder="1" applyProtection="1"/>
    <xf numFmtId="0" fontId="0" fillId="4" borderId="13" xfId="0" applyFill="1" applyBorder="1" applyAlignment="1" applyProtection="1">
      <alignment horizontal="center"/>
    </xf>
    <xf numFmtId="0" fontId="8" fillId="4" borderId="0" xfId="2" applyFont="1" applyFill="1" applyBorder="1" applyAlignment="1" applyProtection="1">
      <alignment horizontal="center"/>
    </xf>
    <xf numFmtId="0" fontId="0" fillId="4" borderId="13" xfId="0" applyFill="1" applyBorder="1" applyAlignment="1" applyProtection="1">
      <alignment vertical="center"/>
    </xf>
    <xf numFmtId="0" fontId="3" fillId="4" borderId="0" xfId="2" applyFont="1" applyFill="1" applyBorder="1" applyAlignment="1" applyProtection="1">
      <alignment horizontal="center" vertical="center"/>
    </xf>
    <xf numFmtId="0" fontId="3" fillId="4" borderId="16" xfId="2" applyFont="1" applyFill="1" applyBorder="1" applyProtection="1"/>
    <xf numFmtId="0" fontId="3" fillId="4" borderId="13" xfId="2" applyFont="1" applyFill="1" applyBorder="1" applyProtection="1"/>
    <xf numFmtId="1" fontId="3" fillId="4" borderId="0" xfId="2" applyNumberFormat="1" applyFont="1" applyFill="1" applyBorder="1" applyAlignment="1" applyProtection="1">
      <alignment horizontal="center" vertical="center"/>
    </xf>
    <xf numFmtId="0" fontId="32" fillId="4" borderId="15" xfId="2" applyFont="1" applyFill="1" applyBorder="1" applyProtection="1">
      <protection hidden="1"/>
    </xf>
    <xf numFmtId="0" fontId="3" fillId="4" borderId="15" xfId="2" applyFont="1" applyFill="1" applyBorder="1" applyProtection="1">
      <protection hidden="1"/>
    </xf>
    <xf numFmtId="0" fontId="32" fillId="4" borderId="15" xfId="2" applyFont="1" applyFill="1" applyBorder="1" applyAlignment="1" applyProtection="1">
      <alignment horizontal="center" vertical="center"/>
      <protection hidden="1"/>
    </xf>
    <xf numFmtId="0" fontId="3" fillId="4" borderId="14" xfId="2" applyFont="1" applyFill="1" applyBorder="1" applyProtection="1"/>
    <xf numFmtId="0" fontId="32" fillId="4" borderId="15" xfId="2" applyFont="1" applyFill="1" applyBorder="1" applyAlignment="1" applyProtection="1">
      <alignment horizontal="center" vertical="center"/>
    </xf>
    <xf numFmtId="0" fontId="32" fillId="4" borderId="0" xfId="2" applyFont="1" applyFill="1" applyProtection="1">
      <protection hidden="1"/>
    </xf>
    <xf numFmtId="0" fontId="3" fillId="4" borderId="15" xfId="2" applyFont="1" applyFill="1" applyBorder="1" applyProtection="1"/>
    <xf numFmtId="0" fontId="3" fillId="4" borderId="9" xfId="2" applyFont="1" applyFill="1" applyBorder="1" applyProtection="1"/>
    <xf numFmtId="0" fontId="3" fillId="4" borderId="10" xfId="2" applyFont="1" applyFill="1" applyBorder="1" applyProtection="1"/>
    <xf numFmtId="0" fontId="32" fillId="4" borderId="11" xfId="2" applyFont="1" applyFill="1" applyBorder="1" applyProtection="1"/>
    <xf numFmtId="49" fontId="3" fillId="4" borderId="9" xfId="2" applyNumberFormat="1" applyFont="1" applyFill="1" applyBorder="1" applyProtection="1"/>
    <xf numFmtId="49" fontId="3" fillId="4" borderId="11" xfId="2" applyNumberFormat="1" applyFont="1" applyFill="1" applyBorder="1" applyProtection="1"/>
    <xf numFmtId="0" fontId="3" fillId="4" borderId="10" xfId="2" applyFont="1" applyFill="1" applyBorder="1" applyAlignment="1" applyProtection="1">
      <alignment horizontal="right"/>
    </xf>
    <xf numFmtId="0" fontId="32" fillId="0" borderId="17" xfId="2" applyFont="1" applyFill="1" applyBorder="1" applyProtection="1"/>
    <xf numFmtId="0" fontId="3" fillId="4" borderId="12" xfId="2" applyFont="1" applyFill="1" applyBorder="1" applyProtection="1"/>
    <xf numFmtId="0" fontId="3" fillId="5" borderId="3" xfId="2" applyFont="1" applyFill="1" applyBorder="1" applyAlignment="1" applyProtection="1">
      <alignment horizontal="center" vertical="center"/>
    </xf>
    <xf numFmtId="49" fontId="3" fillId="4" borderId="0" xfId="2" applyNumberFormat="1" applyFont="1" applyFill="1" applyBorder="1" applyProtection="1"/>
    <xf numFmtId="0" fontId="32" fillId="0" borderId="13" xfId="2" applyFont="1" applyFill="1" applyBorder="1" applyProtection="1"/>
    <xf numFmtId="0" fontId="1" fillId="4" borderId="0" xfId="2" applyFont="1" applyFill="1" applyBorder="1" applyAlignment="1" applyProtection="1">
      <alignment horizontal="right"/>
    </xf>
    <xf numFmtId="0" fontId="34" fillId="4" borderId="0" xfId="2" applyFont="1" applyFill="1" applyBorder="1" applyAlignment="1" applyProtection="1">
      <alignment horizontal="center"/>
    </xf>
    <xf numFmtId="0" fontId="34" fillId="4" borderId="13" xfId="2" applyFont="1" applyFill="1" applyBorder="1" applyAlignment="1" applyProtection="1">
      <alignment horizontal="center"/>
    </xf>
    <xf numFmtId="49" fontId="8" fillId="4" borderId="12" xfId="2" applyNumberFormat="1" applyFont="1" applyFill="1" applyBorder="1" applyAlignment="1" applyProtection="1">
      <alignment horizontal="center"/>
    </xf>
    <xf numFmtId="49" fontId="8" fillId="4" borderId="0" xfId="2" applyNumberFormat="1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3" fillId="4" borderId="0" xfId="2" applyFont="1" applyFill="1" applyBorder="1" applyAlignment="1" applyProtection="1">
      <alignment vertical="center"/>
    </xf>
    <xf numFmtId="0" fontId="3" fillId="4" borderId="3" xfId="2" applyFont="1" applyFill="1" applyBorder="1" applyAlignment="1" applyProtection="1">
      <alignment horizontal="center" vertical="center"/>
    </xf>
    <xf numFmtId="1" fontId="3" fillId="4" borderId="3" xfId="2" applyNumberFormat="1" applyFont="1" applyFill="1" applyBorder="1" applyAlignment="1" applyProtection="1">
      <alignment horizontal="center" vertical="center"/>
    </xf>
    <xf numFmtId="0" fontId="32" fillId="4" borderId="13" xfId="2" applyFont="1" applyFill="1" applyBorder="1" applyAlignment="1" applyProtection="1">
      <alignment horizontal="center" vertical="center"/>
    </xf>
    <xf numFmtId="0" fontId="3" fillId="0" borderId="12" xfId="2" applyNumberFormat="1" applyFont="1" applyFill="1" applyBorder="1" applyAlignment="1" applyProtection="1">
      <alignment horizontal="center" vertical="center"/>
    </xf>
    <xf numFmtId="0" fontId="32" fillId="4" borderId="14" xfId="2" applyFont="1" applyFill="1" applyBorder="1" applyProtection="1"/>
    <xf numFmtId="0" fontId="32" fillId="4" borderId="15" xfId="2" applyFont="1" applyFill="1" applyBorder="1" applyProtection="1"/>
    <xf numFmtId="0" fontId="32" fillId="4" borderId="16" xfId="2" applyFont="1" applyFill="1" applyBorder="1" applyProtection="1"/>
    <xf numFmtId="49" fontId="32" fillId="4" borderId="14" xfId="2" applyNumberFormat="1" applyFont="1" applyFill="1" applyBorder="1" applyProtection="1"/>
    <xf numFmtId="49" fontId="32" fillId="4" borderId="15" xfId="2" applyNumberFormat="1" applyFont="1" applyFill="1" applyBorder="1" applyProtection="1"/>
    <xf numFmtId="0" fontId="32" fillId="0" borderId="16" xfId="2" applyFont="1" applyFill="1" applyBorder="1" applyProtection="1"/>
    <xf numFmtId="0" fontId="36" fillId="0" borderId="0" xfId="2" applyFont="1" applyBorder="1" applyProtection="1">
      <protection hidden="1"/>
    </xf>
    <xf numFmtId="0" fontId="32" fillId="4" borderId="0" xfId="2" applyFont="1" applyFill="1" applyBorder="1" applyProtection="1">
      <protection hidden="1"/>
    </xf>
    <xf numFmtId="0" fontId="34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5" fillId="0" borderId="0" xfId="2" applyFont="1" applyBorder="1" applyProtection="1"/>
    <xf numFmtId="0" fontId="63" fillId="0" borderId="0" xfId="2" applyFont="1" applyBorder="1" applyAlignment="1" applyProtection="1">
      <alignment vertical="center"/>
    </xf>
    <xf numFmtId="0" fontId="53" fillId="0" borderId="1" xfId="2" applyNumberFormat="1" applyFont="1" applyBorder="1" applyAlignment="1" applyProtection="1"/>
    <xf numFmtId="0" fontId="56" fillId="0" borderId="0" xfId="2" applyFont="1" applyFill="1" applyBorder="1" applyAlignment="1" applyProtection="1">
      <alignment horizontal="right"/>
    </xf>
    <xf numFmtId="0" fontId="14" fillId="0" borderId="0" xfId="2" applyNumberFormat="1" applyFont="1" applyFill="1" applyBorder="1" applyAlignment="1" applyProtection="1">
      <alignment horizontal="center" vertical="center"/>
    </xf>
    <xf numFmtId="0" fontId="14" fillId="0" borderId="0" xfId="2" applyNumberFormat="1" applyFont="1" applyFill="1" applyBorder="1" applyAlignment="1" applyProtection="1">
      <alignment horizontal="center"/>
    </xf>
    <xf numFmtId="0" fontId="64" fillId="0" borderId="0" xfId="2" applyNumberFormat="1" applyFont="1" applyFill="1" applyBorder="1" applyAlignment="1" applyProtection="1">
      <alignment horizont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8" fillId="4" borderId="13" xfId="0" applyFont="1" applyFill="1" applyBorder="1" applyAlignment="1" applyProtection="1">
      <alignment horizontal="center"/>
    </xf>
    <xf numFmtId="0" fontId="8" fillId="4" borderId="13" xfId="0" applyFont="1" applyFill="1" applyBorder="1" applyAlignment="1" applyProtection="1">
      <alignment vertical="center"/>
    </xf>
    <xf numFmtId="49" fontId="3" fillId="4" borderId="16" xfId="2" applyNumberFormat="1" applyFont="1" applyFill="1" applyBorder="1" applyProtection="1"/>
    <xf numFmtId="49" fontId="5" fillId="4" borderId="23" xfId="2" applyNumberFormat="1" applyFont="1" applyFill="1" applyBorder="1" applyAlignment="1" applyProtection="1"/>
    <xf numFmtId="49" fontId="0" fillId="4" borderId="0" xfId="0" applyNumberFormat="1" applyFill="1" applyBorder="1" applyAlignment="1" applyProtection="1"/>
    <xf numFmtId="49" fontId="16" fillId="0" borderId="0" xfId="2" applyNumberFormat="1" applyFont="1" applyBorder="1" applyAlignment="1">
      <alignment horizontal="center" vertical="center"/>
    </xf>
    <xf numFmtId="49" fontId="3" fillId="4" borderId="12" xfId="2" applyNumberFormat="1" applyFont="1" applyFill="1" applyBorder="1" applyProtection="1"/>
    <xf numFmtId="0" fontId="32" fillId="0" borderId="0" xfId="2" applyFont="1" applyFill="1" applyBorder="1" applyProtection="1">
      <protection hidden="1"/>
    </xf>
    <xf numFmtId="0" fontId="7" fillId="0" borderId="0" xfId="2" applyFont="1" applyFill="1" applyBorder="1" applyProtection="1"/>
    <xf numFmtId="49" fontId="47" fillId="0" borderId="0" xfId="2" applyNumberFormat="1" applyFont="1" applyBorder="1" applyAlignment="1"/>
    <xf numFmtId="49" fontId="5" fillId="0" borderId="1" xfId="2" applyNumberFormat="1" applyFont="1" applyFill="1" applyBorder="1" applyAlignment="1"/>
    <xf numFmtId="0" fontId="3" fillId="4" borderId="3" xfId="2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0" borderId="0" xfId="2" applyFont="1" applyBorder="1" applyAlignment="1">
      <alignment horizontal="center"/>
    </xf>
    <xf numFmtId="0" fontId="1" fillId="0" borderId="0" xfId="0" applyFont="1"/>
    <xf numFmtId="0" fontId="5" fillId="0" borderId="3" xfId="0" applyNumberFormat="1" applyFont="1" applyFill="1" applyBorder="1" applyAlignment="1" applyProtection="1">
      <protection locked="0"/>
    </xf>
    <xf numFmtId="0" fontId="1" fillId="0" borderId="0" xfId="0" applyFont="1" applyAlignment="1">
      <alignment horizontal="center"/>
    </xf>
    <xf numFmtId="0" fontId="5" fillId="0" borderId="3" xfId="0" applyNumberFormat="1" applyFont="1" applyFill="1" applyBorder="1" applyAlignment="1" applyProtection="1">
      <alignment horizontal="left"/>
      <protection locked="0"/>
    </xf>
    <xf numFmtId="0" fontId="5" fillId="0" borderId="3" xfId="0" applyNumberFormat="1" applyFont="1" applyFill="1" applyBorder="1" applyAlignment="1" applyProtection="1">
      <alignment horizontal="left" indent="1"/>
      <protection locked="0"/>
    </xf>
    <xf numFmtId="2" fontId="8" fillId="0" borderId="3" xfId="0" applyNumberFormat="1" applyFont="1" applyBorder="1" applyAlignment="1">
      <alignment horizontal="center" vertical="center"/>
    </xf>
    <xf numFmtId="1" fontId="67" fillId="0" borderId="0" xfId="0" applyNumberFormat="1" applyFont="1" applyFill="1" applyBorder="1" applyAlignment="1">
      <alignment horizontal="center"/>
    </xf>
    <xf numFmtId="0" fontId="68" fillId="0" borderId="0" xfId="0" applyFont="1" applyAlignment="1">
      <alignment horizontal="center"/>
    </xf>
    <xf numFmtId="49" fontId="42" fillId="0" borderId="0" xfId="2" applyNumberFormat="1" applyFont="1"/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69" fillId="0" borderId="0" xfId="0" applyFont="1" applyAlignment="1">
      <alignment horizontal="center"/>
    </xf>
    <xf numFmtId="0" fontId="70" fillId="0" borderId="0" xfId="2" applyFont="1" applyAlignment="1">
      <alignment horizontal="left" vertical="center"/>
    </xf>
    <xf numFmtId="0" fontId="48" fillId="0" borderId="0" xfId="2" applyFont="1" applyAlignment="1">
      <alignment horizontal="right"/>
    </xf>
    <xf numFmtId="0" fontId="39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7" fillId="0" borderId="0" xfId="2" applyFont="1" applyAlignment="1">
      <alignment horizontal="right" vertical="center"/>
    </xf>
    <xf numFmtId="49" fontId="4" fillId="0" borderId="0" xfId="2" applyNumberFormat="1" applyFont="1" applyAlignment="1">
      <alignment horizontal="center"/>
    </xf>
    <xf numFmtId="0" fontId="4" fillId="0" borderId="0" xfId="2" applyFont="1" applyAlignment="1">
      <alignment horizontal="right"/>
    </xf>
    <xf numFmtId="0" fontId="4" fillId="0" borderId="0" xfId="2" applyFont="1" applyAlignment="1">
      <alignment horizontal="left"/>
    </xf>
    <xf numFmtId="0" fontId="70" fillId="0" borderId="0" xfId="2" applyFont="1"/>
    <xf numFmtId="0" fontId="16" fillId="0" borderId="0" xfId="2" applyFont="1"/>
    <xf numFmtId="0" fontId="14" fillId="0" borderId="0" xfId="2" applyFont="1" applyBorder="1" applyAlignment="1" applyProtection="1">
      <alignment horizontal="center" vertical="center"/>
      <protection locked="0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53" fillId="0" borderId="0" xfId="2" applyNumberFormat="1" applyFont="1" applyBorder="1" applyAlignment="1" applyProtection="1"/>
    <xf numFmtId="0" fontId="53" fillId="0" borderId="0" xfId="2" applyNumberFormat="1" applyFont="1" applyBorder="1" applyAlignment="1" applyProtection="1">
      <alignment horizontal="left"/>
    </xf>
    <xf numFmtId="49" fontId="50" fillId="2" borderId="0" xfId="1" applyNumberFormat="1" applyFont="1" applyFill="1" applyBorder="1" applyAlignment="1" applyProtection="1">
      <alignment horizontal="center" vertical="center"/>
    </xf>
    <xf numFmtId="49" fontId="50" fillId="3" borderId="0" xfId="1" applyNumberFormat="1" applyFont="1" applyFill="1" applyBorder="1" applyAlignment="1" applyProtection="1">
      <alignment vertical="center" textRotation="90"/>
    </xf>
    <xf numFmtId="0" fontId="43" fillId="0" borderId="0" xfId="2" applyFont="1" applyBorder="1" applyAlignment="1" applyProtection="1">
      <alignment horizontal="right"/>
    </xf>
    <xf numFmtId="0" fontId="43" fillId="0" borderId="0" xfId="2" applyNumberFormat="1" applyFont="1" applyBorder="1" applyAlignment="1" applyProtection="1">
      <alignment horizontal="right"/>
    </xf>
    <xf numFmtId="0" fontId="43" fillId="0" borderId="0" xfId="2" applyNumberFormat="1" applyFont="1" applyBorder="1" applyAlignment="1" applyProtection="1">
      <alignment horizontal="left"/>
    </xf>
    <xf numFmtId="0" fontId="37" fillId="0" borderId="0" xfId="2" applyFont="1" applyBorder="1" applyAlignment="1" applyProtection="1">
      <alignment horizontal="center"/>
    </xf>
    <xf numFmtId="49" fontId="35" fillId="0" borderId="0" xfId="2" applyNumberFormat="1" applyFont="1" applyBorder="1" applyAlignment="1">
      <alignment horizontal="center"/>
    </xf>
    <xf numFmtId="49" fontId="35" fillId="0" borderId="0" xfId="2" applyNumberFormat="1" applyFont="1" applyBorder="1"/>
    <xf numFmtId="0" fontId="37" fillId="4" borderId="0" xfId="2" applyNumberFormat="1" applyFont="1" applyFill="1" applyBorder="1" applyAlignment="1">
      <alignment horizontal="center" vertical="center"/>
    </xf>
    <xf numFmtId="1" fontId="50" fillId="0" borderId="0" xfId="2" applyNumberFormat="1" applyFont="1" applyBorder="1" applyAlignment="1">
      <alignment horizontal="center" vertical="center"/>
    </xf>
    <xf numFmtId="2" fontId="8" fillId="0" borderId="3" xfId="2" applyNumberFormat="1" applyFont="1" applyBorder="1" applyAlignment="1">
      <alignment horizontal="center"/>
    </xf>
    <xf numFmtId="1" fontId="16" fillId="0" borderId="7" xfId="2" applyNumberFormat="1" applyFont="1" applyBorder="1" applyAlignment="1">
      <alignment horizontal="center" vertical="center"/>
    </xf>
    <xf numFmtId="0" fontId="0" fillId="0" borderId="0" xfId="0" applyNumberFormat="1" applyBorder="1" applyAlignment="1" applyProtection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/>
    </xf>
    <xf numFmtId="0" fontId="20" fillId="0" borderId="1" xfId="2" applyFont="1" applyBorder="1" applyAlignment="1" applyProtection="1">
      <alignment horizontal="center"/>
    </xf>
    <xf numFmtId="0" fontId="19" fillId="0" borderId="1" xfId="2" applyFont="1" applyBorder="1" applyAlignment="1" applyProtection="1">
      <alignment horizontal="center"/>
    </xf>
    <xf numFmtId="0" fontId="53" fillId="0" borderId="1" xfId="2" applyNumberFormat="1" applyFont="1" applyBorder="1" applyAlignment="1" applyProtection="1">
      <alignment horizontal="left"/>
      <protection locked="0"/>
    </xf>
    <xf numFmtId="14" fontId="53" fillId="0" borderId="2" xfId="2" applyNumberFormat="1" applyFont="1" applyFill="1" applyBorder="1" applyAlignment="1" applyProtection="1">
      <alignment horizontal="left"/>
      <protection locked="0"/>
    </xf>
    <xf numFmtId="49" fontId="53" fillId="0" borderId="1" xfId="0" applyNumberFormat="1" applyFont="1" applyFill="1" applyBorder="1" applyAlignment="1" applyProtection="1">
      <alignment horizontal="left"/>
      <protection locked="0"/>
    </xf>
    <xf numFmtId="0" fontId="53" fillId="0" borderId="1" xfId="0" applyFont="1" applyFill="1" applyBorder="1" applyAlignment="1" applyProtection="1">
      <alignment horizontal="left"/>
      <protection locked="0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protection locked="0"/>
    </xf>
    <xf numFmtId="49" fontId="8" fillId="0" borderId="2" xfId="0" applyNumberFormat="1" applyFont="1" applyFill="1" applyBorder="1" applyAlignment="1" applyProtection="1">
      <protection locked="0"/>
    </xf>
    <xf numFmtId="0" fontId="65" fillId="0" borderId="0" xfId="0" applyFont="1" applyFill="1" applyBorder="1" applyAlignment="1" applyProtection="1">
      <alignment horizontal="left" wrapText="1"/>
    </xf>
    <xf numFmtId="0" fontId="57" fillId="0" borderId="0" xfId="0" applyFont="1" applyFill="1" applyBorder="1" applyAlignment="1" applyProtection="1">
      <alignment horizontal="left" wrapText="1"/>
    </xf>
    <xf numFmtId="0" fontId="57" fillId="0" borderId="0" xfId="0" applyFont="1" applyAlignment="1">
      <alignment horizontal="left"/>
    </xf>
    <xf numFmtId="0" fontId="3" fillId="0" borderId="7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20" fillId="0" borderId="3" xfId="0" applyFont="1" applyBorder="1" applyAlignment="1" applyProtection="1">
      <alignment horizontal="left"/>
      <protection locked="0"/>
    </xf>
    <xf numFmtId="49" fontId="5" fillId="4" borderId="10" xfId="2" applyNumberFormat="1" applyFont="1" applyFill="1" applyBorder="1" applyAlignment="1"/>
    <xf numFmtId="1" fontId="3" fillId="4" borderId="25" xfId="2" applyNumberFormat="1" applyFont="1" applyFill="1" applyBorder="1" applyAlignment="1" applyProtection="1">
      <alignment horizontal="center" vertical="center"/>
    </xf>
    <xf numFmtId="1" fontId="0" fillId="4" borderId="2" xfId="0" applyNumberFormat="1" applyFill="1" applyBorder="1" applyAlignment="1" applyProtection="1">
      <alignment horizontal="center" vertical="center"/>
    </xf>
    <xf numFmtId="1" fontId="0" fillId="4" borderId="26" xfId="0" applyNumberFormat="1" applyFill="1" applyBorder="1" applyAlignment="1" applyProtection="1">
      <alignment horizontal="center" vertical="center"/>
    </xf>
    <xf numFmtId="1" fontId="7" fillId="4" borderId="0" xfId="2" applyNumberFormat="1" applyFont="1" applyFill="1" applyBorder="1" applyAlignment="1" applyProtection="1">
      <alignment horizontal="center"/>
    </xf>
    <xf numFmtId="49" fontId="7" fillId="4" borderId="0" xfId="2" applyNumberFormat="1" applyFont="1" applyFill="1" applyBorder="1" applyAlignment="1" applyProtection="1"/>
    <xf numFmtId="0" fontId="7" fillId="4" borderId="0" xfId="2" applyFont="1" applyFill="1" applyBorder="1" applyAlignment="1" applyProtection="1"/>
    <xf numFmtId="2" fontId="7" fillId="4" borderId="0" xfId="2" applyNumberFormat="1" applyFont="1" applyFill="1" applyBorder="1" applyAlignment="1" applyProtection="1">
      <alignment horizontal="center"/>
    </xf>
    <xf numFmtId="49" fontId="5" fillId="4" borderId="10" xfId="2" applyNumberFormat="1" applyFont="1" applyFill="1" applyBorder="1" applyAlignment="1">
      <alignment horizontal="left"/>
    </xf>
    <xf numFmtId="49" fontId="5" fillId="4" borderId="23" xfId="2" applyNumberFormat="1" applyFont="1" applyFill="1" applyBorder="1" applyAlignment="1">
      <alignment horizontal="left"/>
    </xf>
    <xf numFmtId="49" fontId="5" fillId="4" borderId="10" xfId="2" applyNumberFormat="1" applyFont="1" applyFill="1" applyBorder="1" applyAlignment="1" applyProtection="1"/>
    <xf numFmtId="0" fontId="5" fillId="4" borderId="10" xfId="2" applyNumberFormat="1" applyFont="1" applyFill="1" applyBorder="1" applyAlignment="1" applyProtection="1"/>
    <xf numFmtId="0" fontId="0" fillId="4" borderId="10" xfId="0" applyNumberFormat="1" applyFill="1" applyBorder="1" applyAlignment="1" applyProtection="1"/>
    <xf numFmtId="0" fontId="8" fillId="4" borderId="1" xfId="2" applyFon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47" fillId="4" borderId="12" xfId="2" applyFont="1" applyFill="1" applyBorder="1" applyAlignment="1" applyProtection="1">
      <alignment horizontal="center" vertical="center" textRotation="90"/>
    </xf>
    <xf numFmtId="0" fontId="56" fillId="4" borderId="12" xfId="0" applyFont="1" applyFill="1" applyBorder="1" applyAlignment="1" applyProtection="1">
      <alignment horizontal="center" vertical="center"/>
    </xf>
    <xf numFmtId="49" fontId="3" fillId="5" borderId="25" xfId="2" applyNumberFormat="1" applyFont="1" applyFill="1" applyBorder="1" applyAlignment="1" applyProtection="1">
      <alignment horizontal="center" vertical="center"/>
    </xf>
    <xf numFmtId="0" fontId="0" fillId="5" borderId="26" xfId="0" applyFill="1" applyBorder="1" applyAlignment="1" applyProtection="1">
      <alignment horizontal="center" vertical="center"/>
    </xf>
    <xf numFmtId="0" fontId="47" fillId="4" borderId="12" xfId="2" applyFont="1" applyFill="1" applyBorder="1" applyAlignment="1">
      <alignment horizontal="center" vertical="center" textRotation="90"/>
    </xf>
    <xf numFmtId="0" fontId="56" fillId="4" borderId="12" xfId="0" applyFont="1" applyFill="1" applyBorder="1" applyAlignment="1">
      <alignment horizontal="center" vertical="center"/>
    </xf>
    <xf numFmtId="49" fontId="3" fillId="5" borderId="25" xfId="2" applyNumberFormat="1" applyFont="1" applyFill="1" applyBorder="1" applyAlignment="1" applyProtection="1">
      <alignment horizontal="center" vertical="center"/>
      <protection locked="0"/>
    </xf>
    <xf numFmtId="0" fontId="0" fillId="5" borderId="26" xfId="0" applyFill="1" applyBorder="1" applyAlignment="1" applyProtection="1">
      <alignment horizontal="center" vertical="center"/>
      <protection locked="0"/>
    </xf>
    <xf numFmtId="49" fontId="19" fillId="0" borderId="3" xfId="0" applyNumberFormat="1" applyFont="1" applyBorder="1" applyAlignment="1" applyProtection="1"/>
    <xf numFmtId="49" fontId="19" fillId="0" borderId="3" xfId="0" applyNumberFormat="1" applyFont="1" applyBorder="1" applyAlignment="1" applyProtection="1">
      <alignment horizontal="left"/>
    </xf>
    <xf numFmtId="0" fontId="3" fillId="0" borderId="0" xfId="2" applyFont="1" applyBorder="1" applyAlignment="1" applyProtection="1">
      <alignment horizontal="left" vertical="top" wrapText="1"/>
    </xf>
    <xf numFmtId="0" fontId="19" fillId="0" borderId="1" xfId="2" applyFont="1" applyBorder="1" applyAlignment="1">
      <alignment horizontal="left"/>
    </xf>
    <xf numFmtId="0" fontId="19" fillId="0" borderId="22" xfId="2" applyFont="1" applyBorder="1" applyAlignment="1">
      <alignment horizontal="left"/>
    </xf>
    <xf numFmtId="0" fontId="19" fillId="0" borderId="2" xfId="2" applyFont="1" applyBorder="1" applyAlignment="1">
      <alignment horizontal="left"/>
    </xf>
    <xf numFmtId="0" fontId="19" fillId="0" borderId="26" xfId="2" applyFont="1" applyBorder="1" applyAlignment="1">
      <alignment horizontal="left"/>
    </xf>
    <xf numFmtId="0" fontId="58" fillId="0" borderId="0" xfId="2" applyFont="1" applyAlignment="1">
      <alignment horizontal="left"/>
    </xf>
    <xf numFmtId="1" fontId="14" fillId="0" borderId="0" xfId="2" applyNumberFormat="1" applyFont="1" applyBorder="1" applyAlignment="1" applyProtection="1">
      <alignment horizontal="center"/>
    </xf>
    <xf numFmtId="0" fontId="0" fillId="0" borderId="0" xfId="0" applyBorder="1" applyAlignment="1" applyProtection="1"/>
    <xf numFmtId="0" fontId="3" fillId="0" borderId="0" xfId="2" applyFont="1" applyBorder="1" applyAlignment="1">
      <alignment horizontal="center"/>
    </xf>
    <xf numFmtId="0" fontId="8" fillId="0" borderId="0" xfId="2" applyFont="1" applyBorder="1"/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8" fillId="0" borderId="0" xfId="2" applyFont="1" applyBorder="1" applyAlignment="1">
      <alignment horizontal="center" textRotation="90"/>
    </xf>
    <xf numFmtId="0" fontId="8" fillId="0" borderId="0" xfId="0" applyFont="1" applyBorder="1" applyAlignment="1">
      <alignment horizontal="center"/>
    </xf>
    <xf numFmtId="0" fontId="0" fillId="0" borderId="0" xfId="0" applyBorder="1" applyAlignment="1"/>
    <xf numFmtId="14" fontId="48" fillId="0" borderId="0" xfId="2" applyNumberFormat="1" applyFont="1" applyAlignment="1" applyProtection="1">
      <alignment horizontal="left" vertical="center"/>
    </xf>
    <xf numFmtId="14" fontId="4" fillId="0" borderId="0" xfId="2" applyNumberFormat="1" applyFont="1" applyAlignment="1">
      <alignment horizontal="left"/>
    </xf>
    <xf numFmtId="49" fontId="5" fillId="0" borderId="1" xfId="2" applyNumberFormat="1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49" fontId="5" fillId="0" borderId="2" xfId="2" applyNumberFormat="1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14" fontId="53" fillId="0" borderId="0" xfId="0" applyNumberFormat="1" applyFont="1" applyBorder="1" applyAlignment="1" applyProtection="1">
      <alignment horizontal="left"/>
    </xf>
    <xf numFmtId="0" fontId="14" fillId="0" borderId="0" xfId="2" applyFont="1" applyBorder="1" applyAlignment="1" applyProtection="1">
      <alignment horizontal="center" vertical="center"/>
    </xf>
    <xf numFmtId="0" fontId="5" fillId="0" borderId="0" xfId="2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4" fillId="0" borderId="0" xfId="2" applyNumberFormat="1" applyFont="1" applyBorder="1" applyAlignment="1" applyProtection="1">
      <alignment horizontal="left"/>
    </xf>
    <xf numFmtId="0" fontId="4" fillId="0" borderId="0" xfId="0" applyNumberFormat="1" applyFont="1" applyBorder="1" applyAlignment="1" applyProtection="1"/>
    <xf numFmtId="49" fontId="5" fillId="0" borderId="1" xfId="2" applyNumberFormat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49" fontId="20" fillId="0" borderId="3" xfId="0" applyNumberFormat="1" applyFont="1" applyBorder="1" applyAlignment="1" applyProtection="1">
      <alignment horizontal="left"/>
      <protection locked="0"/>
    </xf>
    <xf numFmtId="49" fontId="5" fillId="0" borderId="2" xfId="2" applyNumberFormat="1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49" fontId="20" fillId="0" borderId="7" xfId="2" applyNumberFormat="1" applyFont="1" applyBorder="1" applyAlignment="1" applyProtection="1">
      <alignment horizontal="center"/>
    </xf>
    <xf numFmtId="0" fontId="20" fillId="0" borderId="7" xfId="2" applyFont="1" applyBorder="1" applyAlignment="1" applyProtection="1">
      <alignment horizontal="center"/>
    </xf>
    <xf numFmtId="0" fontId="37" fillId="0" borderId="0" xfId="2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49" fontId="71" fillId="0" borderId="0" xfId="2" applyNumberFormat="1" applyFont="1" applyBorder="1" applyAlignment="1" applyProtection="1">
      <alignment horizontal="center"/>
    </xf>
    <xf numFmtId="0" fontId="0" fillId="0" borderId="1" xfId="0" applyNumberFormat="1" applyBorder="1" applyAlignment="1" applyProtection="1">
      <protection locked="0"/>
    </xf>
    <xf numFmtId="49" fontId="5" fillId="0" borderId="1" xfId="0" applyNumberFormat="1" applyFont="1" applyFill="1" applyBorder="1" applyAlignment="1" applyProtection="1">
      <alignment horizontal="left" indent="1"/>
      <protection locked="0"/>
    </xf>
    <xf numFmtId="0" fontId="0" fillId="0" borderId="1" xfId="0" applyNumberFormat="1" applyBorder="1" applyAlignment="1" applyProtection="1">
      <alignment horizontal="left" indent="1"/>
      <protection locked="0"/>
    </xf>
    <xf numFmtId="0" fontId="5" fillId="0" borderId="0" xfId="2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49" fontId="5" fillId="0" borderId="2" xfId="0" applyNumberFormat="1" applyFont="1" applyFill="1" applyBorder="1" applyAlignment="1" applyProtection="1">
      <alignment horizontal="left" indent="1"/>
      <protection locked="0"/>
    </xf>
    <xf numFmtId="0" fontId="0" fillId="0" borderId="2" xfId="0" applyNumberFormat="1" applyBorder="1" applyAlignment="1" applyProtection="1">
      <alignment horizontal="left" indent="1"/>
      <protection locked="0"/>
    </xf>
    <xf numFmtId="0" fontId="0" fillId="0" borderId="2" xfId="0" applyNumberFormat="1" applyBorder="1" applyAlignment="1" applyProtection="1">
      <protection locked="0"/>
    </xf>
    <xf numFmtId="0" fontId="5" fillId="0" borderId="0" xfId="2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9" fontId="20" fillId="0" borderId="0" xfId="2" applyNumberFormat="1" applyFont="1" applyBorder="1" applyAlignment="1" applyProtection="1">
      <alignment horizontal="center"/>
    </xf>
    <xf numFmtId="0" fontId="20" fillId="0" borderId="0" xfId="2" applyFont="1" applyBorder="1" applyAlignment="1" applyProtection="1">
      <alignment horizontal="center"/>
    </xf>
    <xf numFmtId="0" fontId="5" fillId="0" borderId="0" xfId="2" applyFont="1" applyBorder="1" applyAlignment="1" applyProtection="1">
      <alignment horizontal="left" wrapText="1"/>
    </xf>
    <xf numFmtId="49" fontId="19" fillId="0" borderId="25" xfId="0" applyNumberFormat="1" applyFont="1" applyBorder="1" applyAlignment="1" applyProtection="1">
      <alignment horizontal="left"/>
    </xf>
    <xf numFmtId="49" fontId="19" fillId="0" borderId="2" xfId="0" applyNumberFormat="1" applyFont="1" applyBorder="1" applyAlignment="1" applyProtection="1">
      <alignment horizontal="left"/>
    </xf>
    <xf numFmtId="0" fontId="57" fillId="4" borderId="12" xfId="2" applyFont="1" applyFill="1" applyBorder="1" applyAlignment="1">
      <alignment horizontal="center" vertical="center" textRotation="90"/>
    </xf>
    <xf numFmtId="0" fontId="67" fillId="4" borderId="12" xfId="0" applyFont="1" applyFill="1" applyBorder="1" applyAlignment="1">
      <alignment horizontal="center" vertical="center"/>
    </xf>
    <xf numFmtId="0" fontId="5" fillId="4" borderId="0" xfId="2" applyFont="1" applyFill="1" applyBorder="1" applyAlignment="1">
      <alignment horizontal="center" vertical="center" textRotation="90"/>
    </xf>
    <xf numFmtId="0" fontId="1" fillId="4" borderId="0" xfId="0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/>
    <xf numFmtId="0" fontId="7" fillId="0" borderId="0" xfId="2" applyFont="1" applyFill="1" applyBorder="1" applyAlignment="1"/>
    <xf numFmtId="1" fontId="7" fillId="0" borderId="0" xfId="2" applyNumberFormat="1" applyFont="1" applyFill="1" applyBorder="1" applyAlignment="1">
      <alignment horizontal="center"/>
    </xf>
    <xf numFmtId="2" fontId="7" fillId="0" borderId="0" xfId="2" applyNumberFormat="1" applyFont="1" applyFill="1" applyBorder="1" applyAlignment="1">
      <alignment horizontal="center"/>
    </xf>
  </cellXfs>
  <cellStyles count="3">
    <cellStyle name="Hyperlinkki" xfId="1" builtinId="8"/>
    <cellStyle name="Normaali" xfId="0" builtinId="0"/>
    <cellStyle name="Normaali 2" xfId="2" xr:uid="{00000000-0005-0000-0000-000001000000}"/>
  </cellStyles>
  <dxfs count="3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952500</xdr:colOff>
      <xdr:row>2</xdr:row>
      <xdr:rowOff>228600</xdr:rowOff>
    </xdr:to>
    <xdr:pic>
      <xdr:nvPicPr>
        <xdr:cNvPr id="1035" name="Picture 1">
          <a:extLst>
            <a:ext uri="{FF2B5EF4-FFF2-40B4-BE49-F238E27FC236}">
              <a16:creationId xmlns:a16="http://schemas.microsoft.com/office/drawing/2014/main" id="{35CA999E-51B6-415F-8E20-4BA547291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9525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171450</xdr:colOff>
      <xdr:row>0</xdr:row>
      <xdr:rowOff>57150</xdr:rowOff>
    </xdr:from>
    <xdr:to>
      <xdr:col>11</xdr:col>
      <xdr:colOff>114300</xdr:colOff>
      <xdr:row>3</xdr:row>
      <xdr:rowOff>0</xdr:rowOff>
    </xdr:to>
    <xdr:pic>
      <xdr:nvPicPr>
        <xdr:cNvPr id="1036" name="Picture 1">
          <a:extLst>
            <a:ext uri="{FF2B5EF4-FFF2-40B4-BE49-F238E27FC236}">
              <a16:creationId xmlns:a16="http://schemas.microsoft.com/office/drawing/2014/main" id="{3B73E77B-CA5A-443F-BC59-2BBFE410A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57150"/>
          <a:ext cx="9525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142875</xdr:colOff>
      <xdr:row>33</xdr:row>
      <xdr:rowOff>9525</xdr:rowOff>
    </xdr:from>
    <xdr:to>
      <xdr:col>5</xdr:col>
      <xdr:colOff>447675</xdr:colOff>
      <xdr:row>33</xdr:row>
      <xdr:rowOff>171450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70084049-1421-451E-82DE-C5930FB87466}"/>
            </a:ext>
          </a:extLst>
        </xdr:cNvPr>
        <xdr:cNvSpPr/>
      </xdr:nvSpPr>
      <xdr:spPr>
        <a:xfrm>
          <a:off x="4276725" y="8448675"/>
          <a:ext cx="304800" cy="161925"/>
        </a:xfrm>
        <a:prstGeom prst="rightArrow">
          <a:avLst/>
        </a:prstGeom>
        <a:solidFill>
          <a:srgbClr val="7030A0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23</xdr:col>
      <xdr:colOff>237580</xdr:colOff>
      <xdr:row>0</xdr:row>
      <xdr:rowOff>0</xdr:rowOff>
    </xdr:from>
    <xdr:to>
      <xdr:col>29</xdr:col>
      <xdr:colOff>192405</xdr:colOff>
      <xdr:row>3</xdr:row>
      <xdr:rowOff>215265</xdr:rowOff>
    </xdr:to>
    <xdr:pic>
      <xdr:nvPicPr>
        <xdr:cNvPr id="2063" name="Picture 1">
          <a:extLst>
            <a:ext uri="{FF2B5EF4-FFF2-40B4-BE49-F238E27FC236}">
              <a16:creationId xmlns:a16="http://schemas.microsoft.com/office/drawing/2014/main" id="{D51FF9DD-AFA9-4087-B8DF-5316EB8A5AC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0"/>
          <a:ext cx="14001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381000</xdr:colOff>
      <xdr:row>3</xdr:row>
      <xdr:rowOff>215265</xdr:rowOff>
    </xdr:to>
    <xdr:pic>
      <xdr:nvPicPr>
        <xdr:cNvPr id="2064" name="Picture 1">
          <a:extLst>
            <a:ext uri="{FF2B5EF4-FFF2-40B4-BE49-F238E27FC236}">
              <a16:creationId xmlns:a16="http://schemas.microsoft.com/office/drawing/2014/main" id="{7CD0251A-654E-4050-8DC9-2D70BFD3D11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9065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23</xdr:col>
      <xdr:colOff>215265</xdr:colOff>
      <xdr:row>0</xdr:row>
      <xdr:rowOff>0</xdr:rowOff>
    </xdr:from>
    <xdr:to>
      <xdr:col>29</xdr:col>
      <xdr:colOff>205740</xdr:colOff>
      <xdr:row>3</xdr:row>
      <xdr:rowOff>239818</xdr:rowOff>
    </xdr:to>
    <xdr:pic>
      <xdr:nvPicPr>
        <xdr:cNvPr id="3088" name="Picture 1">
          <a:extLst>
            <a:ext uri="{FF2B5EF4-FFF2-40B4-BE49-F238E27FC236}">
              <a16:creationId xmlns:a16="http://schemas.microsoft.com/office/drawing/2014/main" id="{B4C507FC-6E9C-4B54-AC0A-257C9036A77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0"/>
          <a:ext cx="14001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443865</xdr:colOff>
      <xdr:row>3</xdr:row>
      <xdr:rowOff>239818</xdr:rowOff>
    </xdr:to>
    <xdr:pic>
      <xdr:nvPicPr>
        <xdr:cNvPr id="3089" name="Picture 1">
          <a:extLst>
            <a:ext uri="{FF2B5EF4-FFF2-40B4-BE49-F238E27FC236}">
              <a16:creationId xmlns:a16="http://schemas.microsoft.com/office/drawing/2014/main" id="{9F9D16CB-5F22-428D-B2C7-F15232E0D5C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01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6">
    <tabColor rgb="FF00B050"/>
    <pageSetUpPr fitToPage="1"/>
  </sheetPr>
  <dimension ref="B1:O40"/>
  <sheetViews>
    <sheetView showGridLines="0" topLeftCell="A8" zoomScale="115" zoomScaleNormal="115" workbookViewId="0">
      <selection activeCell="C26" sqref="C26"/>
    </sheetView>
  </sheetViews>
  <sheetFormatPr defaultColWidth="9.140625" defaultRowHeight="12.75" x14ac:dyDescent="0.2"/>
  <cols>
    <col min="1" max="1" width="1.7109375" style="101" customWidth="1"/>
    <col min="2" max="2" width="38.28515625" style="100" customWidth="1"/>
    <col min="3" max="3" width="6.85546875" style="100" customWidth="1"/>
    <col min="4" max="6" width="7.5703125" style="101" customWidth="1"/>
    <col min="7" max="7" width="8.5703125" style="101" customWidth="1"/>
    <col min="8" max="11" width="7.5703125" style="101" customWidth="1"/>
    <col min="12" max="12" width="2.5703125" style="101" customWidth="1"/>
    <col min="13" max="13" width="4.85546875" style="101" customWidth="1"/>
    <col min="14" max="14" width="2.28515625" style="101" customWidth="1"/>
    <col min="15" max="15" width="9.140625" style="100"/>
    <col min="16" max="16384" width="9.140625" style="101"/>
  </cols>
  <sheetData>
    <row r="1" spans="2:14" s="100" customFormat="1" ht="42.75" customHeight="1" x14ac:dyDescent="1">
      <c r="B1" s="204"/>
      <c r="C1" s="204"/>
      <c r="D1" s="90"/>
      <c r="E1" s="91" t="s">
        <v>30</v>
      </c>
      <c r="I1" s="17"/>
      <c r="J1" s="17"/>
      <c r="K1" s="17"/>
      <c r="M1" s="87"/>
      <c r="N1" s="87"/>
    </row>
    <row r="2" spans="2:14" ht="16.5" customHeight="1" x14ac:dyDescent="1">
      <c r="B2" s="204"/>
      <c r="C2" s="204"/>
      <c r="D2" s="90"/>
      <c r="E2" s="241" t="s">
        <v>74</v>
      </c>
      <c r="H2" s="100"/>
      <c r="I2" s="17"/>
      <c r="J2" s="17"/>
      <c r="K2" s="17"/>
      <c r="L2" s="100"/>
      <c r="M2" s="87"/>
      <c r="N2" s="87"/>
    </row>
    <row r="3" spans="2:14" ht="22.5" customHeight="1" x14ac:dyDescent="0.2">
      <c r="B3" s="204"/>
      <c r="C3" s="204"/>
      <c r="D3" s="92"/>
      <c r="E3" s="283" t="s">
        <v>104</v>
      </c>
      <c r="H3" s="87"/>
      <c r="I3" s="93"/>
      <c r="J3" s="93"/>
      <c r="K3" s="93"/>
      <c r="L3" s="100"/>
      <c r="M3" s="87"/>
      <c r="N3" s="87"/>
    </row>
    <row r="4" spans="2:14" ht="8.25" hidden="1" customHeight="1" x14ac:dyDescent="0.2">
      <c r="B4" s="411"/>
      <c r="C4" s="411"/>
      <c r="D4" s="412"/>
      <c r="E4" s="207"/>
      <c r="F4" s="102"/>
      <c r="G4" s="94"/>
      <c r="H4" s="95"/>
      <c r="I4" s="96"/>
      <c r="J4" s="96"/>
      <c r="K4" s="96"/>
      <c r="L4" s="96"/>
      <c r="M4" s="94"/>
      <c r="N4" s="97"/>
    </row>
    <row r="5" spans="2:14" ht="22.5" customHeight="1" x14ac:dyDescent="0.3">
      <c r="B5" s="284" t="s">
        <v>75</v>
      </c>
      <c r="C5" s="299">
        <v>4</v>
      </c>
      <c r="E5" s="300" t="s">
        <v>3</v>
      </c>
      <c r="F5" s="299">
        <v>10</v>
      </c>
      <c r="G5" s="301"/>
      <c r="H5" s="302" t="b">
        <f>IF(F6="x",FALSE,TRUE)</f>
        <v>1</v>
      </c>
      <c r="I5" s="303"/>
      <c r="J5" s="415"/>
      <c r="K5" s="100"/>
      <c r="L5" s="100"/>
      <c r="M5" s="95"/>
      <c r="N5" s="413"/>
    </row>
    <row r="6" spans="2:14" ht="22.5" customHeight="1" x14ac:dyDescent="0.3">
      <c r="B6" s="284" t="s">
        <v>34</v>
      </c>
      <c r="C6" s="476" t="s">
        <v>108</v>
      </c>
      <c r="D6" s="476"/>
      <c r="E6" s="476"/>
      <c r="F6" s="476"/>
      <c r="G6" s="476"/>
      <c r="H6" s="476"/>
      <c r="I6" s="476"/>
      <c r="K6" s="100"/>
      <c r="L6" s="100"/>
      <c r="M6" s="95"/>
      <c r="N6" s="414"/>
    </row>
    <row r="7" spans="2:14" ht="22.5" customHeight="1" x14ac:dyDescent="0.25">
      <c r="B7" s="284" t="s">
        <v>76</v>
      </c>
      <c r="C7" s="477">
        <v>44583</v>
      </c>
      <c r="D7" s="477"/>
      <c r="F7" s="304"/>
      <c r="G7" s="304"/>
      <c r="H7" s="305"/>
      <c r="I7" s="305"/>
      <c r="J7" s="305"/>
      <c r="K7" s="17"/>
      <c r="L7" s="17"/>
      <c r="M7" s="95"/>
      <c r="N7" s="95"/>
    </row>
    <row r="8" spans="2:14" ht="28.5" customHeight="1" x14ac:dyDescent="0.25">
      <c r="B8" s="478" t="s">
        <v>109</v>
      </c>
      <c r="C8" s="478"/>
      <c r="D8" s="478"/>
      <c r="G8" s="100"/>
      <c r="H8" s="100"/>
      <c r="I8" s="100"/>
      <c r="J8" s="100"/>
      <c r="K8" s="100"/>
      <c r="L8" s="100"/>
      <c r="M8" s="102"/>
      <c r="N8" s="102"/>
    </row>
    <row r="9" spans="2:14" ht="14.25" customHeight="1" x14ac:dyDescent="0.2">
      <c r="B9" s="211" t="s">
        <v>77</v>
      </c>
      <c r="C9" s="211"/>
      <c r="D9" s="210"/>
      <c r="G9" s="100"/>
      <c r="H9" s="100"/>
      <c r="I9" s="100"/>
      <c r="J9" s="100"/>
      <c r="K9" s="100"/>
      <c r="L9" s="100"/>
      <c r="M9" s="100"/>
      <c r="N9" s="100"/>
    </row>
    <row r="10" spans="2:14" ht="24.75" customHeight="1" x14ac:dyDescent="0.2">
      <c r="B10" s="430" t="s">
        <v>100</v>
      </c>
      <c r="C10" s="432" t="s">
        <v>101</v>
      </c>
      <c r="D10" s="236" t="s">
        <v>13</v>
      </c>
      <c r="E10" s="236" t="s">
        <v>5</v>
      </c>
      <c r="F10" s="237" t="s">
        <v>40</v>
      </c>
      <c r="G10" s="237" t="s">
        <v>39</v>
      </c>
      <c r="H10" s="237" t="s">
        <v>42</v>
      </c>
      <c r="I10" s="236" t="s">
        <v>45</v>
      </c>
      <c r="J10" s="236" t="s">
        <v>27</v>
      </c>
      <c r="K10" s="237" t="s">
        <v>44</v>
      </c>
    </row>
    <row r="11" spans="2:14" ht="20.25" customHeight="1" x14ac:dyDescent="0.25">
      <c r="B11" s="316" t="s">
        <v>113</v>
      </c>
      <c r="C11" s="431"/>
      <c r="D11" s="99">
        <f>SUMIF(apuri!$A$9:$A$16,tilasto!B11,apuri!$D$9:$D$16)</f>
        <v>448</v>
      </c>
      <c r="E11" s="99">
        <f>SUMIF(apuri!$A$9:$A$16,tilasto!B11,apuri!$H$9:$H$16)</f>
        <v>7384</v>
      </c>
      <c r="F11" s="99">
        <f>SUMIF(apuri!$A$9:$A$16,tilasto!B11,apuri!$E$9:$E$16)</f>
        <v>15</v>
      </c>
      <c r="G11" s="99">
        <f>SUMIF(apuri!$A$9:$A$16,tilasto!B11,apuri!$J$9:$J$16)</f>
        <v>3</v>
      </c>
      <c r="H11" s="99">
        <f>SUMIF(apuri!$A$9:$A$16,tilasto!B11,apuri!$L$9:$L$16)</f>
        <v>15</v>
      </c>
      <c r="I11" s="99">
        <f>SUMIF(apuri!$A$9:$A$16,tilasto!B11,apuri!$M$9:$M$16)</f>
        <v>0</v>
      </c>
      <c r="J11" s="435">
        <f>IF(D11=0,0,E11/D11)</f>
        <v>16.482142857142858</v>
      </c>
      <c r="K11" s="435">
        <f>IF(D11=0,0,(H11+I11)/F11)</f>
        <v>1</v>
      </c>
    </row>
    <row r="12" spans="2:14" ht="20.25" customHeight="1" x14ac:dyDescent="0.25">
      <c r="B12" s="316" t="s">
        <v>116</v>
      </c>
      <c r="C12" s="431" t="s">
        <v>7</v>
      </c>
      <c r="D12" s="99">
        <f>SUMIF(apuri!$A$9:$A$16,tilasto!B12,apuri!$D$9:$D$16)</f>
        <v>573</v>
      </c>
      <c r="E12" s="99">
        <f>SUMIF(apuri!$A$9:$A$16,tilasto!B12,apuri!$H$9:$H$16)</f>
        <v>8008</v>
      </c>
      <c r="F12" s="99">
        <f>SUMIF(apuri!$A$9:$A$16,tilasto!B12,apuri!$E$9:$E$16)</f>
        <v>17</v>
      </c>
      <c r="G12" s="99">
        <f>SUMIF(apuri!$A$9:$A$16,tilasto!B12,apuri!$J$9:$J$16)</f>
        <v>2</v>
      </c>
      <c r="H12" s="99">
        <f>SUMIF(apuri!$A$9:$A$16,tilasto!B12,apuri!$L$9:$L$16)</f>
        <v>4</v>
      </c>
      <c r="I12" s="99">
        <f>SUMIF(apuri!$A$9:$A$16,tilasto!B12,apuri!$M$9:$M$16)</f>
        <v>0</v>
      </c>
      <c r="J12" s="435">
        <f t="shared" ref="J12:J19" si="0">IF(D12=0,0,E12/D12)</f>
        <v>13.975567190226876</v>
      </c>
      <c r="K12" s="435">
        <f t="shared" ref="K12:K19" si="1">IF(D12=0,0,(H12+I12)/F12)</f>
        <v>0.23529411764705882</v>
      </c>
    </row>
    <row r="13" spans="2:14" ht="20.25" customHeight="1" x14ac:dyDescent="0.25">
      <c r="B13" s="316" t="s">
        <v>114</v>
      </c>
      <c r="C13" s="431"/>
      <c r="D13" s="99">
        <f>SUMIF(apuri!$A$9:$A$16,tilasto!B13,apuri!$D$9:$D$16)</f>
        <v>342</v>
      </c>
      <c r="E13" s="99">
        <f>SUMIF(apuri!$A$9:$A$16,tilasto!B13,apuri!$H$9:$H$16)</f>
        <v>5195</v>
      </c>
      <c r="F13" s="99">
        <f>SUMIF(apuri!$A$9:$A$16,tilasto!B13,apuri!$E$9:$E$16)</f>
        <v>12</v>
      </c>
      <c r="G13" s="99">
        <f>SUMIF(apuri!$A$9:$A$16,tilasto!B13,apuri!$J$9:$J$16)</f>
        <v>2</v>
      </c>
      <c r="H13" s="99">
        <f>SUMIF(apuri!$A$9:$A$16,tilasto!B13,apuri!$L$9:$L$16)</f>
        <v>5</v>
      </c>
      <c r="I13" s="99">
        <f>SUMIF(apuri!$A$9:$A$16,tilasto!B13,apuri!$M$9:$M$16)</f>
        <v>0</v>
      </c>
      <c r="J13" s="435">
        <f t="shared" si="0"/>
        <v>15.190058479532164</v>
      </c>
      <c r="K13" s="435">
        <f t="shared" si="1"/>
        <v>0.41666666666666669</v>
      </c>
    </row>
    <row r="14" spans="2:14" ht="20.25" customHeight="1" x14ac:dyDescent="0.25">
      <c r="B14" s="316" t="s">
        <v>115</v>
      </c>
      <c r="C14" s="431"/>
      <c r="D14" s="99">
        <f>SUMIF(apuri!$A$9:$A$16,tilasto!B14,apuri!$D$9:$D$16)</f>
        <v>495</v>
      </c>
      <c r="E14" s="99">
        <f>SUMIF(apuri!$A$9:$A$16,tilasto!B14,apuri!$H$9:$H$16)</f>
        <v>7795</v>
      </c>
      <c r="F14" s="99">
        <f>SUMIF(apuri!$A$9:$A$16,tilasto!B14,apuri!$E$9:$E$16)</f>
        <v>17</v>
      </c>
      <c r="G14" s="99">
        <f>SUMIF(apuri!$A$9:$A$16,tilasto!B14,apuri!$J$9:$J$16)</f>
        <v>1</v>
      </c>
      <c r="H14" s="99">
        <f>SUMIF(apuri!$A$9:$A$16,tilasto!B14,apuri!$L$9:$L$16)</f>
        <v>8</v>
      </c>
      <c r="I14" s="99">
        <f>SUMIF(apuri!$A$9:$A$16,tilasto!B14,apuri!$M$9:$M$16)</f>
        <v>0</v>
      </c>
      <c r="J14" s="435">
        <f t="shared" si="0"/>
        <v>15.747474747474747</v>
      </c>
      <c r="K14" s="435">
        <f t="shared" si="1"/>
        <v>0.47058823529411764</v>
      </c>
    </row>
    <row r="15" spans="2:14" ht="20.25" customHeight="1" x14ac:dyDescent="0.25">
      <c r="B15" s="316"/>
      <c r="C15" s="431"/>
      <c r="D15" s="99">
        <f>SUMIF(apuri!$A$9:$A$16,tilasto!B15,apuri!$D$9:$D$16)</f>
        <v>0</v>
      </c>
      <c r="E15" s="99">
        <f>SUMIF(apuri!$A$9:$A$16,tilasto!B15,apuri!$H$9:$H$16)</f>
        <v>0</v>
      </c>
      <c r="F15" s="99">
        <f>SUMIF(apuri!$A$9:$A$16,tilasto!B15,apuri!$E$9:$E$16)</f>
        <v>0</v>
      </c>
      <c r="G15" s="99">
        <f>SUMIF(apuri!$A$9:$A$16,tilasto!B15,apuri!$J$9:$J$16)</f>
        <v>0</v>
      </c>
      <c r="H15" s="99">
        <f>SUMIF(apuri!$A$9:$A$16,tilasto!B15,apuri!$L$9:$L$16)</f>
        <v>0</v>
      </c>
      <c r="I15" s="99">
        <f>SUMIF(apuri!$A$9:$A$16,tilasto!B15,apuri!$M$9:$M$16)</f>
        <v>0</v>
      </c>
      <c r="J15" s="435">
        <f t="shared" si="0"/>
        <v>0</v>
      </c>
      <c r="K15" s="435">
        <f t="shared" si="1"/>
        <v>0</v>
      </c>
    </row>
    <row r="16" spans="2:14" ht="20.25" customHeight="1" x14ac:dyDescent="0.25">
      <c r="B16" s="316"/>
      <c r="C16" s="431"/>
      <c r="D16" s="99">
        <f>SUMIF(apuri!$A$9:$A$16,tilasto!B16,apuri!$D$9:$D$16)</f>
        <v>0</v>
      </c>
      <c r="E16" s="99">
        <f>SUMIF(apuri!$A$9:$A$16,tilasto!B16,apuri!$H$9:$H$16)</f>
        <v>0</v>
      </c>
      <c r="F16" s="99">
        <f>SUMIF(apuri!$A$9:$A$16,tilasto!B16,apuri!$E$9:$E$16)</f>
        <v>0</v>
      </c>
      <c r="G16" s="99">
        <f>SUMIF(apuri!$A$9:$A$16,tilasto!B16,apuri!$J$9:$J$16)</f>
        <v>0</v>
      </c>
      <c r="H16" s="99">
        <f>SUMIF(apuri!$A$9:$A$16,tilasto!B16,apuri!$L$9:$L$16)</f>
        <v>0</v>
      </c>
      <c r="I16" s="99">
        <f>SUMIF(apuri!$A$9:$A$16,tilasto!B16,apuri!$M$9:$M$16)</f>
        <v>0</v>
      </c>
      <c r="J16" s="435">
        <f t="shared" si="0"/>
        <v>0</v>
      </c>
      <c r="K16" s="435">
        <f t="shared" si="1"/>
        <v>0</v>
      </c>
    </row>
    <row r="17" spans="2:15" ht="20.25" customHeight="1" x14ac:dyDescent="0.25">
      <c r="B17" s="316"/>
      <c r="C17" s="431"/>
      <c r="D17" s="99">
        <f>SUMIF(apuri!$A$9:$A$16,tilasto!B17,apuri!$D$9:$D$16)</f>
        <v>0</v>
      </c>
      <c r="E17" s="99">
        <f>SUMIF(apuri!$A$9:$A$16,tilasto!B17,apuri!$H$9:$H$16)</f>
        <v>0</v>
      </c>
      <c r="F17" s="99">
        <f>SUMIF(apuri!$A$9:$A$16,tilasto!B17,apuri!$E$9:$E$16)</f>
        <v>0</v>
      </c>
      <c r="G17" s="99">
        <f>SUMIF(apuri!$A$9:$A$16,tilasto!B17,apuri!$J$9:$J$16)</f>
        <v>0</v>
      </c>
      <c r="H17" s="99">
        <f>SUMIF(apuri!$A$9:$A$16,tilasto!B17,apuri!$L$9:$L$16)</f>
        <v>0</v>
      </c>
      <c r="I17" s="99">
        <f>SUMIF(apuri!$A$9:$A$16,tilasto!B17,apuri!$M$9:$M$16)</f>
        <v>0</v>
      </c>
      <c r="J17" s="435">
        <f t="shared" si="0"/>
        <v>0</v>
      </c>
      <c r="K17" s="435">
        <f t="shared" si="1"/>
        <v>0</v>
      </c>
    </row>
    <row r="18" spans="2:15" ht="20.25" customHeight="1" x14ac:dyDescent="0.25">
      <c r="B18" s="316"/>
      <c r="C18" s="431"/>
      <c r="D18" s="99">
        <f>SUMIF(apuri!$A$9:$A$16,tilasto!B18,apuri!$D$9:$D$16)</f>
        <v>0</v>
      </c>
      <c r="E18" s="99">
        <f>SUMIF(apuri!$A$9:$A$16,tilasto!B18,apuri!$H$9:$H$16)</f>
        <v>0</v>
      </c>
      <c r="F18" s="99">
        <f>SUMIF(apuri!$A$9:$A$16,tilasto!B18,apuri!$E$9:$E$16)</f>
        <v>0</v>
      </c>
      <c r="G18" s="99">
        <f>SUMIF(apuri!$A$9:$A$16,tilasto!B18,apuri!$J$9:$J$16)</f>
        <v>0</v>
      </c>
      <c r="H18" s="99">
        <f>SUMIF(apuri!$A$9:$A$16,tilasto!B18,apuri!$L$9:$L$16)</f>
        <v>0</v>
      </c>
      <c r="I18" s="99">
        <f>SUMIF(apuri!$A$9:$A$16,tilasto!B18,apuri!$M$9:$M$16)</f>
        <v>0</v>
      </c>
      <c r="J18" s="435">
        <f t="shared" si="0"/>
        <v>0</v>
      </c>
      <c r="K18" s="435">
        <f t="shared" si="1"/>
        <v>0</v>
      </c>
    </row>
    <row r="19" spans="2:15" ht="21" customHeight="1" x14ac:dyDescent="0.2">
      <c r="B19" s="486" t="s">
        <v>79</v>
      </c>
      <c r="C19" s="487"/>
      <c r="D19" s="115">
        <f t="shared" ref="D19:I19" si="2">SUM(D11:D18)</f>
        <v>1858</v>
      </c>
      <c r="E19" s="115">
        <f t="shared" si="2"/>
        <v>28382</v>
      </c>
      <c r="F19" s="115">
        <f t="shared" si="2"/>
        <v>61</v>
      </c>
      <c r="G19" s="290">
        <f t="shared" si="2"/>
        <v>8</v>
      </c>
      <c r="H19" s="115">
        <f t="shared" si="2"/>
        <v>32</v>
      </c>
      <c r="I19" s="115">
        <f t="shared" si="2"/>
        <v>0</v>
      </c>
      <c r="J19" s="435">
        <f t="shared" si="0"/>
        <v>15.27556512378902</v>
      </c>
      <c r="K19" s="435">
        <f t="shared" si="1"/>
        <v>0.52459016393442626</v>
      </c>
    </row>
    <row r="20" spans="2:15" s="287" customFormat="1" ht="12" customHeight="1" x14ac:dyDescent="0.2">
      <c r="B20" s="285"/>
      <c r="C20" s="285"/>
      <c r="D20" s="285"/>
      <c r="E20" s="286"/>
      <c r="F20" s="285"/>
      <c r="G20" s="285"/>
      <c r="H20" s="285"/>
      <c r="I20" s="285"/>
      <c r="J20" s="285"/>
      <c r="K20" s="285"/>
      <c r="L20" s="285"/>
      <c r="M20" s="285"/>
      <c r="N20" s="285"/>
      <c r="O20" s="285"/>
    </row>
    <row r="21" spans="2:15" ht="19.5" customHeight="1" x14ac:dyDescent="0.25">
      <c r="B21" s="478" t="s">
        <v>110</v>
      </c>
      <c r="C21" s="478"/>
      <c r="D21" s="479"/>
      <c r="G21" s="100"/>
      <c r="H21" s="100"/>
      <c r="I21" s="100"/>
      <c r="J21" s="100"/>
      <c r="K21" s="100"/>
      <c r="L21" s="100"/>
      <c r="M21" s="100"/>
      <c r="N21" s="100"/>
    </row>
    <row r="22" spans="2:15" ht="13.5" customHeight="1" x14ac:dyDescent="0.2">
      <c r="B22" s="212" t="s">
        <v>78</v>
      </c>
      <c r="C22" s="212"/>
      <c r="D22" s="98"/>
      <c r="E22" s="100"/>
      <c r="F22" s="100"/>
      <c r="G22" s="100"/>
      <c r="H22" s="100"/>
      <c r="I22" s="100"/>
      <c r="J22" s="100"/>
      <c r="K22" s="100"/>
      <c r="L22" s="100"/>
      <c r="M22" s="100"/>
      <c r="N22" s="100"/>
    </row>
    <row r="23" spans="2:15" ht="23.25" customHeight="1" x14ac:dyDescent="0.2">
      <c r="B23" s="430" t="s">
        <v>100</v>
      </c>
      <c r="C23" s="212" t="s">
        <v>102</v>
      </c>
      <c r="D23" s="236" t="s">
        <v>13</v>
      </c>
      <c r="E23" s="236" t="s">
        <v>5</v>
      </c>
      <c r="F23" s="237" t="s">
        <v>40</v>
      </c>
      <c r="G23" s="237" t="s">
        <v>39</v>
      </c>
      <c r="H23" s="237" t="s">
        <v>42</v>
      </c>
      <c r="I23" s="236" t="s">
        <v>45</v>
      </c>
      <c r="J23" s="236" t="s">
        <v>27</v>
      </c>
      <c r="K23" s="237" t="s">
        <v>44</v>
      </c>
    </row>
    <row r="24" spans="2:15" ht="20.25" customHeight="1" x14ac:dyDescent="0.25">
      <c r="B24" s="317" t="s">
        <v>117</v>
      </c>
      <c r="C24" s="433"/>
      <c r="D24" s="99">
        <f>SUMIF(apuri!$A$19:$A$26,tilasto!B24,apuri!$D$19:$D$26)</f>
        <v>360</v>
      </c>
      <c r="E24" s="99">
        <f>SUMIF(apuri!$A$19:$A$26,tilasto!B24,apuri!$H$19:$H$26)</f>
        <v>6979</v>
      </c>
      <c r="F24" s="99">
        <f>SUMIF(apuri!$A$19:$A$26,tilasto!B24,apuri!$E$19:$E$26)</f>
        <v>14</v>
      </c>
      <c r="G24" s="99">
        <f>SUMIF(apuri!$A$19:$A$26,tilasto!B24,apuri!$J$19:$J$26)</f>
        <v>4</v>
      </c>
      <c r="H24" s="99">
        <f>SUMIF(apuri!$A$19:$A$26,tilasto!B24,apuri!$L$19:$L$26)</f>
        <v>18</v>
      </c>
      <c r="I24" s="99">
        <f>SUMIF(apuri!$A$19:$A$26,tilasto!B24,apuri!$M$19:$M$26)</f>
        <v>0</v>
      </c>
      <c r="J24" s="435">
        <f>IF(D24=0,0,E24/D24)</f>
        <v>19.386111111111113</v>
      </c>
      <c r="K24" s="435">
        <f>IF(D24=0,0,(H24+I24)/F24)</f>
        <v>1.2857142857142858</v>
      </c>
    </row>
    <row r="25" spans="2:15" ht="20.25" customHeight="1" x14ac:dyDescent="0.25">
      <c r="B25" s="317" t="s">
        <v>118</v>
      </c>
      <c r="C25" s="433"/>
      <c r="D25" s="99">
        <f>SUMIF(apuri!$A$19:$A$26,tilasto!B25,apuri!$D$19:$D$26)</f>
        <v>460</v>
      </c>
      <c r="E25" s="99">
        <f>SUMIF(apuri!$A$19:$A$26,tilasto!B25,apuri!$H$19:$H$26)</f>
        <v>6353</v>
      </c>
      <c r="F25" s="99">
        <f>SUMIF(apuri!$A$19:$A$26,tilasto!B25,apuri!$E$19:$E$26)</f>
        <v>15</v>
      </c>
      <c r="G25" s="99">
        <f>SUMIF(apuri!$A$19:$A$26,tilasto!B25,apuri!$J$19:$J$26)</f>
        <v>1</v>
      </c>
      <c r="H25" s="99">
        <f>SUMIF(apuri!$A$19:$A$26,tilasto!B25,apuri!$L$19:$L$26)</f>
        <v>6</v>
      </c>
      <c r="I25" s="99">
        <f>SUMIF(apuri!$A$19:$A$26,tilasto!B25,apuri!$M$19:$M$26)</f>
        <v>0</v>
      </c>
      <c r="J25" s="435">
        <f t="shared" ref="J25:J32" si="3">IF(D25=0,0,E25/D25)</f>
        <v>13.810869565217391</v>
      </c>
      <c r="K25" s="435">
        <f t="shared" ref="K25:K32" si="4">IF(D25=0,0,(H25+I25)/F25)</f>
        <v>0.4</v>
      </c>
    </row>
    <row r="26" spans="2:15" ht="20.25" customHeight="1" x14ac:dyDescent="0.25">
      <c r="B26" s="317" t="s">
        <v>119</v>
      </c>
      <c r="C26" s="433"/>
      <c r="D26" s="99">
        <f>SUMIF(apuri!$A$19:$A$26,tilasto!B26,apuri!$D$19:$D$26)</f>
        <v>521</v>
      </c>
      <c r="E26" s="99">
        <f>SUMIF(apuri!$A$19:$A$26,tilasto!B26,apuri!$H$19:$H$26)</f>
        <v>7209</v>
      </c>
      <c r="F26" s="99">
        <f>SUMIF(apuri!$A$19:$A$26,tilasto!B26,apuri!$E$19:$E$26)</f>
        <v>15</v>
      </c>
      <c r="G26" s="99">
        <f>SUMIF(apuri!$A$19:$A$26,tilasto!B26,apuri!$J$19:$J$26)</f>
        <v>1</v>
      </c>
      <c r="H26" s="99">
        <f>SUMIF(apuri!$A$19:$A$26,tilasto!B26,apuri!$L$19:$L$26)</f>
        <v>9</v>
      </c>
      <c r="I26" s="99">
        <f>SUMIF(apuri!$A$19:$A$26,tilasto!B26,apuri!$M$19:$M$26)</f>
        <v>1</v>
      </c>
      <c r="J26" s="435">
        <f t="shared" si="3"/>
        <v>13.836852207293665</v>
      </c>
      <c r="K26" s="435">
        <f t="shared" si="4"/>
        <v>0.66666666666666663</v>
      </c>
    </row>
    <row r="27" spans="2:15" ht="20.25" customHeight="1" x14ac:dyDescent="0.25">
      <c r="B27" s="317" t="s">
        <v>120</v>
      </c>
      <c r="C27" s="433" t="s">
        <v>7</v>
      </c>
      <c r="D27" s="99">
        <f>SUMIF(apuri!$A$19:$A$26,tilasto!B27,apuri!$D$19:$D$26)</f>
        <v>500</v>
      </c>
      <c r="E27" s="99">
        <f>SUMIF(apuri!$A$19:$A$26,tilasto!B27,apuri!$H$19:$H$26)</f>
        <v>8021</v>
      </c>
      <c r="F27" s="99">
        <f>SUMIF(apuri!$A$19:$A$26,tilasto!B27,apuri!$E$19:$E$26)</f>
        <v>17</v>
      </c>
      <c r="G27" s="99">
        <f>SUMIF(apuri!$A$19:$A$26,tilasto!B27,apuri!$J$19:$J$26)</f>
        <v>2</v>
      </c>
      <c r="H27" s="99">
        <f>SUMIF(apuri!$A$19:$A$26,tilasto!B27,apuri!$L$19:$L$26)</f>
        <v>12</v>
      </c>
      <c r="I27" s="99">
        <f>SUMIF(apuri!$A$19:$A$26,tilasto!B27,apuri!$M$19:$M$26)</f>
        <v>0</v>
      </c>
      <c r="J27" s="435">
        <f t="shared" si="3"/>
        <v>16.042000000000002</v>
      </c>
      <c r="K27" s="435">
        <f t="shared" si="4"/>
        <v>0.70588235294117652</v>
      </c>
    </row>
    <row r="28" spans="2:15" ht="20.25" customHeight="1" x14ac:dyDescent="0.25">
      <c r="B28" s="316"/>
      <c r="C28" s="431"/>
      <c r="D28" s="99">
        <f>SUMIF(apuri!$A$19:$A$26,tilasto!B28,apuri!$D$19:$D$26)</f>
        <v>0</v>
      </c>
      <c r="E28" s="99">
        <f>SUMIF(apuri!$A$19:$A$26,tilasto!B28,apuri!$H$19:$H$26)</f>
        <v>0</v>
      </c>
      <c r="F28" s="99">
        <f>SUMIF(apuri!$A$19:$A$26,tilasto!B28,apuri!$E$19:$E$26)</f>
        <v>0</v>
      </c>
      <c r="G28" s="99">
        <f>SUMIF(apuri!$A$19:$A$26,tilasto!B28,apuri!$J$19:$J$26)</f>
        <v>0</v>
      </c>
      <c r="H28" s="99">
        <f>SUMIF(apuri!$A$19:$A$26,tilasto!B28,apuri!$L$19:$L$26)</f>
        <v>0</v>
      </c>
      <c r="I28" s="99">
        <f>SUMIF(apuri!$A$19:$A$26,tilasto!B28,apuri!$M$19:$M$26)</f>
        <v>0</v>
      </c>
      <c r="J28" s="435">
        <f t="shared" si="3"/>
        <v>0</v>
      </c>
      <c r="K28" s="435">
        <f t="shared" si="4"/>
        <v>0</v>
      </c>
    </row>
    <row r="29" spans="2:15" ht="20.25" customHeight="1" x14ac:dyDescent="0.25">
      <c r="B29" s="316"/>
      <c r="C29" s="434"/>
      <c r="D29" s="99">
        <f>SUMIF(apuri!$A$19:$A$26,tilasto!B29,apuri!$D$19:$D$26)</f>
        <v>0</v>
      </c>
      <c r="E29" s="99">
        <f>SUMIF(apuri!$A$19:$A$26,tilasto!B29,apuri!$H$19:$H$26)</f>
        <v>0</v>
      </c>
      <c r="F29" s="99">
        <f>SUMIF(apuri!$A$19:$A$26,tilasto!B29,apuri!$E$19:$E$26)</f>
        <v>0</v>
      </c>
      <c r="G29" s="99">
        <f>SUMIF(apuri!$A$19:$A$26,tilasto!B29,apuri!$J$19:$J$26)</f>
        <v>0</v>
      </c>
      <c r="H29" s="99">
        <f>SUMIF(apuri!$A$19:$A$26,tilasto!B29,apuri!$L$19:$L$26)</f>
        <v>0</v>
      </c>
      <c r="I29" s="99">
        <f>SUMIF(apuri!$A$19:$A$26,tilasto!B29,apuri!$M$19:$M$26)</f>
        <v>0</v>
      </c>
      <c r="J29" s="435">
        <f t="shared" si="3"/>
        <v>0</v>
      </c>
      <c r="K29" s="435">
        <f t="shared" si="4"/>
        <v>0</v>
      </c>
    </row>
    <row r="30" spans="2:15" ht="20.25" customHeight="1" x14ac:dyDescent="0.25">
      <c r="B30" s="316"/>
      <c r="C30" s="434"/>
      <c r="D30" s="99">
        <f>SUMIF(apuri!$A$19:$A$26,tilasto!B30,apuri!$D$19:$D$26)</f>
        <v>0</v>
      </c>
      <c r="E30" s="99">
        <f>SUMIF(apuri!$A$19:$A$26,tilasto!B30,apuri!$H$19:$H$26)</f>
        <v>0</v>
      </c>
      <c r="F30" s="99">
        <f>SUMIF(apuri!$A$19:$A$26,tilasto!B30,apuri!$E$19:$E$26)</f>
        <v>0</v>
      </c>
      <c r="G30" s="99">
        <f>SUMIF(apuri!$A$19:$A$26,tilasto!B30,apuri!$J$19:$J$26)</f>
        <v>0</v>
      </c>
      <c r="H30" s="99">
        <f>SUMIF(apuri!$A$19:$A$26,tilasto!B30,apuri!$L$19:$L$26)</f>
        <v>0</v>
      </c>
      <c r="I30" s="99">
        <f>SUMIF(apuri!$A$19:$A$26,tilasto!B30,apuri!$M$19:$M$26)</f>
        <v>0</v>
      </c>
      <c r="J30" s="435">
        <f t="shared" si="3"/>
        <v>0</v>
      </c>
      <c r="K30" s="435">
        <f t="shared" si="4"/>
        <v>0</v>
      </c>
    </row>
    <row r="31" spans="2:15" ht="20.25" customHeight="1" x14ac:dyDescent="0.25">
      <c r="B31" s="316"/>
      <c r="C31" s="434"/>
      <c r="D31" s="99">
        <f>SUMIF(apuri!$A$19:$A$26,tilasto!B31,apuri!$D$19:$D$26)</f>
        <v>0</v>
      </c>
      <c r="E31" s="99">
        <f>SUMIF(apuri!$A$19:$A$26,tilasto!B31,apuri!$H$19:$H$26)</f>
        <v>0</v>
      </c>
      <c r="F31" s="99">
        <f>SUMIF(apuri!$A$19:$A$26,tilasto!B31,apuri!$E$19:$E$26)</f>
        <v>0</v>
      </c>
      <c r="G31" s="99">
        <f>SUMIF(apuri!$A$19:$A$26,tilasto!B31,apuri!$J$19:$J$26)</f>
        <v>0</v>
      </c>
      <c r="H31" s="99">
        <f>SUMIF(apuri!$A$19:$A$26,tilasto!B31,apuri!$L$19:$L$26)</f>
        <v>0</v>
      </c>
      <c r="I31" s="99">
        <f>SUMIF(apuri!$A$19:$A$26,tilasto!B31,apuri!$M$19:$M$26)</f>
        <v>0</v>
      </c>
      <c r="J31" s="435">
        <f t="shared" si="3"/>
        <v>0</v>
      </c>
      <c r="K31" s="435">
        <f t="shared" si="4"/>
        <v>0</v>
      </c>
    </row>
    <row r="32" spans="2:15" ht="21" customHeight="1" x14ac:dyDescent="0.2">
      <c r="B32" s="486" t="s">
        <v>79</v>
      </c>
      <c r="C32" s="487"/>
      <c r="D32" s="115">
        <f t="shared" ref="D32:I32" si="5">SUM(D24:D31)</f>
        <v>1841</v>
      </c>
      <c r="E32" s="115">
        <f t="shared" si="5"/>
        <v>28562</v>
      </c>
      <c r="F32" s="115">
        <f t="shared" si="5"/>
        <v>61</v>
      </c>
      <c r="G32" s="290">
        <f t="shared" si="5"/>
        <v>8</v>
      </c>
      <c r="H32" s="115">
        <f t="shared" si="5"/>
        <v>45</v>
      </c>
      <c r="I32" s="115">
        <f t="shared" si="5"/>
        <v>1</v>
      </c>
      <c r="J32" s="435">
        <f t="shared" si="3"/>
        <v>15.514394350896252</v>
      </c>
      <c r="K32" s="435">
        <f t="shared" si="4"/>
        <v>0.75409836065573765</v>
      </c>
    </row>
    <row r="33" spans="2:14" ht="13.5" customHeight="1" x14ac:dyDescent="0.2">
      <c r="D33" s="100"/>
      <c r="E33" s="100"/>
      <c r="F33" s="100"/>
      <c r="H33" s="100"/>
      <c r="I33" s="100"/>
      <c r="J33" s="100"/>
      <c r="K33" s="100"/>
      <c r="L33" s="100"/>
      <c r="M33" s="100"/>
      <c r="N33" s="100"/>
    </row>
    <row r="34" spans="2:14" ht="15" x14ac:dyDescent="0.25">
      <c r="B34" s="288" t="s">
        <v>103</v>
      </c>
      <c r="C34" s="288"/>
      <c r="D34" s="178"/>
      <c r="E34" s="100"/>
      <c r="F34" s="289"/>
      <c r="G34" s="436">
        <f>G19+G32</f>
        <v>16</v>
      </c>
      <c r="H34" s="100"/>
      <c r="I34" s="100"/>
      <c r="J34" s="100"/>
      <c r="K34" s="100"/>
      <c r="L34" s="100"/>
      <c r="M34" s="100"/>
      <c r="N34" s="100"/>
    </row>
    <row r="35" spans="2:14" ht="19.5" customHeight="1" x14ac:dyDescent="0.25">
      <c r="B35" s="291" t="s">
        <v>80</v>
      </c>
      <c r="C35" s="291"/>
      <c r="D35" s="178"/>
      <c r="E35" s="100"/>
      <c r="F35" s="289"/>
      <c r="G35" s="100"/>
      <c r="H35" s="100"/>
      <c r="I35" s="100"/>
      <c r="J35" s="100"/>
      <c r="K35" s="100"/>
      <c r="L35" s="100"/>
      <c r="M35" s="100"/>
      <c r="N35" s="100"/>
    </row>
    <row r="36" spans="2:14" ht="19.5" customHeight="1" x14ac:dyDescent="0.3">
      <c r="B36" s="485" t="str">
        <f>CONCATENATE(B8," - ",B21,"     ",'Ottelu 1'!V27," - ",'Ottelu 1'!W27)</f>
        <v>Grönan DC 2 - Ohari DC 2     2 - 6</v>
      </c>
      <c r="C36" s="485"/>
      <c r="D36" s="485"/>
      <c r="E36" s="485"/>
      <c r="F36" s="485"/>
      <c r="G36" s="315"/>
      <c r="H36" s="293"/>
      <c r="I36" s="292"/>
      <c r="J36" s="100"/>
      <c r="K36" s="100"/>
      <c r="L36" s="100"/>
      <c r="M36" s="100"/>
      <c r="N36" s="100"/>
    </row>
    <row r="37" spans="2:14" ht="25.5" customHeight="1" x14ac:dyDescent="0.3">
      <c r="B37" s="485" t="str">
        <f>CONCATENATE(B8," - ",B21,"     ",'Ottelu 2'!W27," - ",'Ottelu 2'!V27)</f>
        <v>Grönan DC 2 - Ohari DC 2     6 - 2</v>
      </c>
      <c r="C37" s="485"/>
      <c r="D37" s="485"/>
      <c r="E37" s="485"/>
      <c r="F37" s="485"/>
      <c r="G37" s="315"/>
      <c r="H37" s="100"/>
      <c r="I37" s="100"/>
      <c r="J37" s="100"/>
      <c r="K37" s="100"/>
      <c r="L37" s="100"/>
      <c r="M37" s="100"/>
      <c r="N37" s="100"/>
    </row>
    <row r="38" spans="2:14" ht="71.25" customHeight="1" x14ac:dyDescent="0.25">
      <c r="B38" s="483" t="s">
        <v>98</v>
      </c>
      <c r="C38" s="483"/>
      <c r="D38" s="484"/>
      <c r="E38" s="484"/>
      <c r="F38" s="484"/>
      <c r="G38" s="484"/>
      <c r="H38" s="484"/>
      <c r="I38" s="484"/>
      <c r="J38" s="484"/>
      <c r="K38" s="484"/>
      <c r="L38" s="100"/>
      <c r="M38" s="100"/>
      <c r="N38" s="100"/>
    </row>
    <row r="39" spans="2:14" ht="30.75" customHeight="1" x14ac:dyDescent="0.25">
      <c r="B39" s="114" t="s">
        <v>2</v>
      </c>
      <c r="C39" s="114"/>
      <c r="D39" s="480" t="s">
        <v>111</v>
      </c>
      <c r="E39" s="481"/>
      <c r="F39" s="481"/>
      <c r="G39" s="481"/>
      <c r="H39" s="481"/>
      <c r="I39" s="100"/>
      <c r="J39" s="100"/>
      <c r="K39" s="100"/>
      <c r="L39" s="100"/>
      <c r="M39" s="100"/>
      <c r="N39" s="100"/>
    </row>
    <row r="40" spans="2:14" ht="24" customHeight="1" x14ac:dyDescent="0.25">
      <c r="B40" s="114" t="s">
        <v>49</v>
      </c>
      <c r="C40" s="114"/>
      <c r="D40" s="482" t="s">
        <v>112</v>
      </c>
      <c r="E40" s="482"/>
      <c r="F40" s="482"/>
      <c r="G40" s="482"/>
      <c r="H40" s="482"/>
      <c r="I40" s="100"/>
    </row>
  </sheetData>
  <sheetProtection algorithmName="SHA-512" hashValue="qM2hZ9T8hArwu4L7kHRtCYDQdLCy+2RIJtZS/qwQQYueMpisHSyP6y0vys0I8eE+7SVVvPX87PkALTsRb7TM5Q==" saltValue="/nUkA/JqVI5+zb5j8vgq0A==" spinCount="100000" sheet="1" selectLockedCells="1"/>
  <customSheetViews>
    <customSheetView guid="{D7BA83DF-7FB9-4BC8-8608-11C4C7AC2BBD}" scale="70" fitToPage="1">
      <selection activeCell="C16" sqref="C16"/>
      <pageMargins left="0.38" right="0.48" top="0.78740157480314965" bottom="0.78740157480314965" header="0.51181102362204722" footer="0.51181102362204722"/>
      <pageSetup paperSize="9" scale="69" orientation="portrait" r:id="rId1"/>
      <headerFooter alignWithMargins="0"/>
    </customSheetView>
  </customSheetViews>
  <mergeCells count="11">
    <mergeCell ref="C6:I6"/>
    <mergeCell ref="C7:D7"/>
    <mergeCell ref="B21:D21"/>
    <mergeCell ref="D39:H39"/>
    <mergeCell ref="D40:H40"/>
    <mergeCell ref="B38:K38"/>
    <mergeCell ref="B36:F36"/>
    <mergeCell ref="B37:F37"/>
    <mergeCell ref="B19:C19"/>
    <mergeCell ref="B32:C32"/>
    <mergeCell ref="B8:D8"/>
  </mergeCells>
  <phoneticPr fontId="0" type="noConversion"/>
  <printOptions horizontalCentered="1" verticalCentered="1"/>
  <pageMargins left="0.39370078740157483" right="0.39370078740157483" top="0.51181102362204722" bottom="0.39370078740157483" header="0.31496062992125984" footer="0.39370078740157483"/>
  <pageSetup paperSize="9" scale="92" orientation="portrait" r:id="rId2"/>
  <headerFooter alignWithMargins="0">
    <oddFooter>&amp;L&amp;D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3">
    <tabColor theme="3"/>
    <pageSetUpPr fitToPage="1"/>
  </sheetPr>
  <dimension ref="A1:AU184"/>
  <sheetViews>
    <sheetView showGridLines="0" topLeftCell="A112" zoomScale="70" zoomScaleNormal="70" zoomScalePageLayoutView="55" workbookViewId="0">
      <selection activeCell="M130" sqref="M130"/>
    </sheetView>
  </sheetViews>
  <sheetFormatPr defaultColWidth="9.140625" defaultRowHeight="15" x14ac:dyDescent="0.2"/>
  <cols>
    <col min="1" max="1" width="2.5703125" style="6" customWidth="1"/>
    <col min="2" max="2" width="5.7109375" style="1" customWidth="1"/>
    <col min="3" max="7" width="6.85546875" style="1" customWidth="1"/>
    <col min="8" max="8" width="6.5703125" style="1" customWidth="1"/>
    <col min="9" max="9" width="1.85546875" style="9" customWidth="1"/>
    <col min="10" max="10" width="4.42578125" style="9" customWidth="1"/>
    <col min="11" max="11" width="2.5703125" style="9" customWidth="1"/>
    <col min="12" max="12" width="6.85546875" style="9" customWidth="1"/>
    <col min="13" max="13" width="7.7109375" style="9" customWidth="1"/>
    <col min="14" max="14" width="6.5703125" style="1" customWidth="1"/>
    <col min="15" max="16" width="6.85546875" style="1" customWidth="1"/>
    <col min="17" max="17" width="3.28515625" style="1" customWidth="1"/>
    <col min="18" max="18" width="5.85546875" style="1" customWidth="1"/>
    <col min="19" max="19" width="2.5703125" style="180" customWidth="1"/>
    <col min="20" max="20" width="5.7109375" style="1" customWidth="1"/>
    <col min="21" max="21" width="2.28515625" style="1" customWidth="1"/>
    <col min="22" max="23" width="3.85546875" style="1" customWidth="1"/>
    <col min="24" max="26" width="3.85546875" style="1" bestFit="1" customWidth="1"/>
    <col min="27" max="27" width="1.140625" style="1" customWidth="1"/>
    <col min="28" max="29" width="4.28515625" style="1" customWidth="1"/>
    <col min="30" max="30" width="4.42578125" style="1" customWidth="1"/>
    <col min="31" max="31" width="3.85546875" style="1" customWidth="1"/>
    <col min="32" max="32" width="3.7109375" style="1" customWidth="1"/>
    <col min="33" max="33" width="2.28515625" style="1" customWidth="1"/>
    <col min="34" max="34" width="3.28515625" style="61" customWidth="1"/>
    <col min="35" max="35" width="3.140625" style="61" customWidth="1"/>
    <col min="36" max="37" width="11" style="61" bestFit="1" customWidth="1"/>
    <col min="38" max="38" width="9.140625" style="39"/>
    <col min="39" max="39" width="9.140625" style="214"/>
    <col min="40" max="40" width="9.140625" style="39"/>
    <col min="41" max="41" width="22.28515625" style="39" customWidth="1"/>
    <col min="42" max="47" width="9.140625" style="39"/>
    <col min="48" max="16384" width="9.140625" style="1"/>
  </cols>
  <sheetData>
    <row r="1" spans="1:47" s="6" customFormat="1" ht="45" customHeight="1" x14ac:dyDescent="1">
      <c r="A1" s="42"/>
      <c r="B1" s="69"/>
      <c r="C1" s="69"/>
      <c r="D1" s="70"/>
      <c r="E1" s="70"/>
      <c r="F1" s="70"/>
      <c r="G1" s="70"/>
      <c r="I1" s="70"/>
      <c r="J1" s="10"/>
      <c r="K1" s="10"/>
      <c r="L1" s="10"/>
      <c r="M1" s="84" t="s">
        <v>31</v>
      </c>
      <c r="P1" s="70"/>
      <c r="Q1" s="70"/>
      <c r="R1" s="70"/>
      <c r="S1" s="326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80"/>
      <c r="AI1" s="80"/>
      <c r="AJ1" s="86" t="s">
        <v>7</v>
      </c>
      <c r="AK1" s="80"/>
      <c r="AL1" s="49"/>
      <c r="AM1" s="243"/>
      <c r="AN1" s="49"/>
      <c r="AO1" s="49"/>
      <c r="AP1" s="49"/>
      <c r="AQ1" s="49"/>
      <c r="AR1" s="49"/>
      <c r="AS1" s="49"/>
      <c r="AT1" s="49"/>
      <c r="AU1" s="49"/>
    </row>
    <row r="2" spans="1:47" ht="30" customHeight="1" x14ac:dyDescent="1">
      <c r="A2" s="42"/>
      <c r="B2" s="69"/>
      <c r="C2" s="69"/>
      <c r="D2" s="70"/>
      <c r="E2" s="70"/>
      <c r="F2" s="70"/>
      <c r="G2" s="70"/>
      <c r="H2" s="214"/>
      <c r="I2" s="437"/>
      <c r="J2" s="438"/>
      <c r="K2" s="438"/>
      <c r="M2" s="439"/>
      <c r="N2" s="440" t="s">
        <v>74</v>
      </c>
      <c r="Q2" s="441"/>
      <c r="R2" s="441"/>
      <c r="S2" s="442"/>
      <c r="T2" s="529"/>
      <c r="U2" s="529"/>
      <c r="V2" s="529"/>
      <c r="W2" s="529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58"/>
      <c r="AI2" s="58"/>
      <c r="AJ2" s="58"/>
      <c r="AK2" s="58"/>
    </row>
    <row r="3" spans="1:47" s="6" customFormat="1" ht="21.75" customHeight="1" x14ac:dyDescent="0.25">
      <c r="A3" s="42"/>
      <c r="B3" s="43"/>
      <c r="C3" s="43"/>
      <c r="D3" s="2"/>
      <c r="E3" s="2"/>
      <c r="F3" s="2"/>
      <c r="G3" s="2"/>
      <c r="H3" s="443"/>
      <c r="I3" s="252"/>
      <c r="J3" s="444"/>
      <c r="K3" s="444"/>
      <c r="L3" s="445"/>
      <c r="M3" s="446" t="s">
        <v>107</v>
      </c>
      <c r="N3" s="3"/>
      <c r="O3" s="3"/>
      <c r="P3" s="3"/>
      <c r="Q3" s="447">
        <f>IF(tilasto!C5="","",tilasto!C5)</f>
        <v>4</v>
      </c>
      <c r="R3" s="3" t="s">
        <v>105</v>
      </c>
      <c r="S3" s="3"/>
      <c r="T3" s="453">
        <f>IF(tilasto!F5="","",tilasto!F5)</f>
        <v>10</v>
      </c>
      <c r="U3" s="252"/>
      <c r="V3" s="252"/>
      <c r="W3" s="252"/>
      <c r="X3" s="41"/>
      <c r="Y3" s="41"/>
      <c r="Z3" s="19"/>
      <c r="AA3" s="19"/>
      <c r="AB3" s="19"/>
      <c r="AC3" s="19"/>
      <c r="AD3" s="19"/>
      <c r="AE3" s="19"/>
      <c r="AF3" s="19"/>
      <c r="AG3" s="19"/>
      <c r="AH3" s="59"/>
      <c r="AI3" s="59"/>
      <c r="AJ3" s="59"/>
      <c r="AK3" s="59"/>
      <c r="AL3" s="49"/>
      <c r="AM3" s="243"/>
      <c r="AN3" s="49"/>
      <c r="AO3" s="49"/>
      <c r="AP3" s="49"/>
      <c r="AQ3" s="49"/>
      <c r="AR3" s="49"/>
      <c r="AS3" s="49"/>
      <c r="AT3" s="49"/>
      <c r="AU3" s="49"/>
    </row>
    <row r="4" spans="1:47" s="6" customFormat="1" ht="27" customHeight="1" x14ac:dyDescent="0.3">
      <c r="A4" s="42"/>
      <c r="B4" s="42"/>
      <c r="C4" s="44"/>
      <c r="D4" s="23"/>
      <c r="E4" s="23"/>
      <c r="F4" s="23"/>
      <c r="G4" s="242"/>
      <c r="H4" s="448"/>
      <c r="I4" s="214"/>
      <c r="J4" s="449" t="s">
        <v>76</v>
      </c>
      <c r="K4" s="450"/>
      <c r="L4" s="530">
        <f>tilasto!C7</f>
        <v>44583</v>
      </c>
      <c r="M4" s="530"/>
      <c r="N4" s="3" t="s">
        <v>34</v>
      </c>
      <c r="O4" s="1"/>
      <c r="P4" s="451" t="str">
        <f>IF(tilasto!C6="","",tilasto!C6)</f>
        <v>Pub Grönan, Hanko</v>
      </c>
      <c r="Q4" s="1"/>
      <c r="R4" s="1"/>
      <c r="S4" s="214"/>
      <c r="T4" s="214"/>
      <c r="U4" s="214"/>
      <c r="V4" s="452"/>
      <c r="W4" s="214"/>
      <c r="X4" s="5"/>
      <c r="Y4" s="5"/>
      <c r="AH4" s="60"/>
      <c r="AI4" s="60"/>
      <c r="AJ4" s="60"/>
      <c r="AK4" s="60"/>
      <c r="AL4" s="49"/>
      <c r="AM4" s="243"/>
      <c r="AN4" s="49"/>
      <c r="AO4" s="49"/>
      <c r="AP4" s="49"/>
      <c r="AQ4" s="49"/>
      <c r="AR4" s="49"/>
      <c r="AS4" s="49"/>
      <c r="AT4" s="49"/>
      <c r="AU4" s="49"/>
    </row>
    <row r="5" spans="1:47" s="6" customFormat="1" ht="24.75" hidden="1" customHeight="1" x14ac:dyDescent="0.3">
      <c r="A5" s="42"/>
      <c r="B5" s="42"/>
      <c r="C5" s="45"/>
      <c r="D5" s="20"/>
      <c r="E5" s="20"/>
      <c r="F5" s="23"/>
      <c r="G5" s="242"/>
      <c r="H5" s="183"/>
      <c r="I5" s="5"/>
      <c r="J5" s="296"/>
      <c r="K5" s="295"/>
      <c r="L5" s="298"/>
      <c r="M5" s="40"/>
      <c r="N5" s="181"/>
      <c r="O5" s="184"/>
      <c r="P5" s="46"/>
      <c r="Q5" s="46"/>
      <c r="R5" s="537"/>
      <c r="S5" s="538"/>
      <c r="T5" s="538"/>
      <c r="U5" s="536"/>
      <c r="V5" s="536"/>
      <c r="AH5" s="60"/>
      <c r="AI5" s="60"/>
      <c r="AJ5" s="60"/>
      <c r="AK5" s="60"/>
      <c r="AL5" s="49"/>
      <c r="AM5" s="243"/>
      <c r="AN5" s="49"/>
      <c r="AO5" s="49"/>
      <c r="AP5" s="49"/>
      <c r="AQ5" s="49"/>
      <c r="AR5" s="49"/>
      <c r="AS5" s="49"/>
      <c r="AT5" s="49"/>
      <c r="AU5" s="49"/>
    </row>
    <row r="6" spans="1:47" s="6" customFormat="1" ht="24.75" hidden="1" customHeight="1" x14ac:dyDescent="0.3">
      <c r="A6" s="42"/>
      <c r="B6" s="42"/>
      <c r="C6" s="45"/>
      <c r="D6" s="20"/>
      <c r="E6" s="20"/>
      <c r="H6" s="183"/>
      <c r="I6" s="5"/>
      <c r="J6" s="297"/>
      <c r="K6" s="295"/>
      <c r="L6" s="535"/>
      <c r="M6" s="535"/>
      <c r="N6" s="535"/>
      <c r="O6" s="184"/>
      <c r="P6" s="46"/>
      <c r="Q6" s="46"/>
      <c r="R6" s="537"/>
      <c r="S6" s="538"/>
      <c r="T6" s="538"/>
      <c r="U6" s="536"/>
      <c r="V6" s="536"/>
      <c r="W6" s="244"/>
      <c r="AH6" s="60"/>
      <c r="AI6" s="60"/>
      <c r="AJ6" s="60"/>
      <c r="AK6" s="60"/>
      <c r="AL6" s="49"/>
      <c r="AM6" s="243"/>
      <c r="AN6" s="49"/>
      <c r="AO6" s="49"/>
      <c r="AP6" s="49"/>
      <c r="AQ6" s="49"/>
      <c r="AR6" s="49"/>
      <c r="AS6" s="49"/>
      <c r="AT6" s="49"/>
      <c r="AU6" s="49"/>
    </row>
    <row r="7" spans="1:47" ht="19.5" hidden="1" customHeight="1" x14ac:dyDescent="0.2">
      <c r="A7" s="42"/>
      <c r="B7" s="42"/>
      <c r="C7" s="42"/>
      <c r="D7" s="6"/>
      <c r="E7" s="6"/>
      <c r="F7" s="6"/>
      <c r="G7" s="6"/>
      <c r="H7" s="6"/>
      <c r="I7" s="10"/>
      <c r="J7" s="10"/>
      <c r="K7" s="10"/>
      <c r="L7" s="10"/>
      <c r="M7" s="10"/>
      <c r="N7" s="5"/>
      <c r="O7" s="5"/>
      <c r="P7" s="5"/>
      <c r="Q7" s="5"/>
      <c r="R7" s="6"/>
      <c r="S7" s="163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47" s="3" customFormat="1" ht="27.75" hidden="1" customHeight="1" x14ac:dyDescent="0.35">
      <c r="A8" s="42"/>
      <c r="B8" s="404"/>
      <c r="C8" s="43"/>
      <c r="D8" s="2"/>
      <c r="E8" s="20"/>
      <c r="F8" s="539"/>
      <c r="G8" s="540"/>
      <c r="H8" s="540"/>
      <c r="I8" s="540"/>
      <c r="J8" s="540"/>
      <c r="K8" s="540"/>
      <c r="L8" s="540"/>
      <c r="M8" s="540"/>
      <c r="N8" s="54"/>
      <c r="O8" s="6"/>
      <c r="P8" s="6"/>
      <c r="Q8" s="6"/>
      <c r="R8" s="20"/>
      <c r="S8" s="520"/>
      <c r="T8" s="520"/>
      <c r="U8" s="55"/>
      <c r="V8" s="520"/>
      <c r="W8" s="520"/>
      <c r="X8" s="55"/>
      <c r="Y8" s="520"/>
      <c r="Z8" s="521"/>
      <c r="AA8" s="521"/>
      <c r="AB8" s="521"/>
      <c r="AC8" s="28"/>
      <c r="AD8" s="28"/>
      <c r="AE8" s="28"/>
      <c r="AF8" s="28"/>
      <c r="AG8" s="6"/>
      <c r="AH8" s="61"/>
      <c r="AI8" s="61"/>
      <c r="AJ8" s="61"/>
      <c r="AK8" s="61"/>
      <c r="AL8" s="249"/>
      <c r="AM8" s="252"/>
      <c r="AN8" s="249"/>
      <c r="AO8" s="249"/>
      <c r="AP8" s="249"/>
      <c r="AQ8" s="249"/>
      <c r="AR8" s="249"/>
      <c r="AS8" s="249"/>
      <c r="AT8" s="249"/>
      <c r="AU8" s="249"/>
    </row>
    <row r="9" spans="1:47" s="4" customFormat="1" ht="42" customHeight="1" x14ac:dyDescent="0.25">
      <c r="A9" s="54"/>
      <c r="B9" s="410" t="str">
        <f>IF(tilasto!B8="","",tilasto!B8)</f>
        <v>Grönan DC 2</v>
      </c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57"/>
      <c r="O9" s="410" t="str">
        <f>IF(tilasto!B21="","",tilasto!B21)</f>
        <v>Ohari DC 2</v>
      </c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57"/>
      <c r="AG9" s="458"/>
      <c r="AH9" s="62"/>
      <c r="AI9" s="62"/>
      <c r="AJ9" s="62"/>
      <c r="AK9" s="62"/>
      <c r="AL9" s="206"/>
      <c r="AM9" s="213"/>
      <c r="AN9" s="208"/>
      <c r="AO9" s="206"/>
      <c r="AP9" s="206"/>
      <c r="AQ9" s="208"/>
      <c r="AR9" s="206"/>
      <c r="AS9" s="208"/>
      <c r="AT9" s="213"/>
      <c r="AU9" s="206"/>
    </row>
    <row r="10" spans="1:47" s="4" customFormat="1" ht="15" customHeight="1" x14ac:dyDescent="0.25">
      <c r="A10" s="5"/>
      <c r="B10" s="6" t="s">
        <v>50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O10" s="6" t="s">
        <v>82</v>
      </c>
      <c r="P10" s="5"/>
      <c r="Q10" s="5"/>
      <c r="R10" s="5"/>
      <c r="S10" s="32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3"/>
      <c r="AI10" s="63"/>
      <c r="AJ10" s="63"/>
      <c r="AK10" s="63"/>
      <c r="AL10" s="206"/>
      <c r="AM10" s="213"/>
      <c r="AN10" s="208"/>
      <c r="AO10" s="250" t="str">
        <f>IF(tilasto!B11=0,"",tilasto!B11)</f>
        <v>Lindholm Tobias</v>
      </c>
      <c r="AP10" s="208"/>
      <c r="AQ10" s="208"/>
      <c r="AR10" s="208" t="str">
        <f>IF(tilasto!B24=0,"",tilasto!B24)</f>
        <v>Nevalainen Ari</v>
      </c>
      <c r="AS10" s="208"/>
      <c r="AT10" s="213"/>
      <c r="AU10" s="206"/>
    </row>
    <row r="11" spans="1:47" ht="15.75" hidden="1" x14ac:dyDescent="0.25">
      <c r="A11" s="5"/>
      <c r="B11" s="5"/>
      <c r="C11" s="5"/>
      <c r="D11" s="5"/>
      <c r="E11" s="5"/>
      <c r="F11" s="5"/>
      <c r="G11" s="5"/>
      <c r="H11" s="52"/>
      <c r="I11" s="5"/>
      <c r="J11" s="10"/>
      <c r="K11" s="10"/>
      <c r="L11" s="10"/>
      <c r="M11" s="526"/>
      <c r="N11" s="52"/>
      <c r="O11" s="5"/>
      <c r="P11" s="5"/>
      <c r="Q11" s="5"/>
      <c r="R11" s="5"/>
      <c r="S11" s="32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26"/>
      <c r="AG11" s="528"/>
      <c r="AH11" s="63"/>
      <c r="AI11" s="63"/>
      <c r="AJ11" s="63"/>
      <c r="AK11" s="63"/>
      <c r="AN11" s="209"/>
      <c r="AO11" s="250" t="str">
        <f>IF(tilasto!B12=0,"",tilasto!B12)</f>
        <v>Holmström Bjarne</v>
      </c>
      <c r="AP11" s="209"/>
      <c r="AQ11" s="209"/>
      <c r="AR11" s="208" t="str">
        <f>IF(tilasto!B25=0,"",tilasto!B25)</f>
        <v>Partanen Jarkko</v>
      </c>
      <c r="AS11" s="209"/>
      <c r="AT11" s="214"/>
    </row>
    <row r="12" spans="1:47" ht="27.75" hidden="1" customHeight="1" x14ac:dyDescent="0.25">
      <c r="B12" s="22" t="s">
        <v>4</v>
      </c>
      <c r="C12" s="56"/>
      <c r="D12" s="56"/>
      <c r="E12" s="56"/>
      <c r="F12" s="56"/>
      <c r="G12" s="56"/>
      <c r="H12" s="6"/>
      <c r="I12" s="6"/>
      <c r="J12" s="10"/>
      <c r="K12" s="10"/>
      <c r="L12" s="10"/>
      <c r="M12" s="527"/>
      <c r="N12" s="6"/>
      <c r="O12" s="33" t="s">
        <v>4</v>
      </c>
      <c r="P12" s="6"/>
      <c r="Q12" s="6"/>
      <c r="R12" s="6"/>
      <c r="S12" s="163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527"/>
      <c r="AG12" s="528"/>
      <c r="AL12" s="208" t="s">
        <v>33</v>
      </c>
      <c r="AN12" s="209"/>
      <c r="AO12" s="250" t="str">
        <f>IF(tilasto!B13=0,"",tilasto!B13)</f>
        <v>Aho Jarno</v>
      </c>
      <c r="AP12" s="208" t="s">
        <v>55</v>
      </c>
      <c r="AQ12" s="209"/>
      <c r="AR12" s="208" t="str">
        <f>IF(tilasto!B26=0,"",tilasto!B26)</f>
        <v>Mantila Petri</v>
      </c>
      <c r="AS12" s="209"/>
      <c r="AT12" s="214"/>
    </row>
    <row r="13" spans="1:47" ht="30" customHeight="1" x14ac:dyDescent="0.25">
      <c r="B13" s="455">
        <v>1</v>
      </c>
      <c r="C13" s="541" t="s">
        <v>113</v>
      </c>
      <c r="D13" s="542"/>
      <c r="E13" s="542"/>
      <c r="F13" s="542"/>
      <c r="G13" s="542"/>
      <c r="H13" s="542"/>
      <c r="I13" s="542"/>
      <c r="J13" s="542"/>
      <c r="K13" s="542"/>
      <c r="L13" s="542"/>
      <c r="M13" s="454"/>
      <c r="N13" s="455">
        <v>1</v>
      </c>
      <c r="O13" s="531" t="s">
        <v>117</v>
      </c>
      <c r="P13" s="532"/>
      <c r="Q13" s="532"/>
      <c r="R13" s="532"/>
      <c r="S13" s="532"/>
      <c r="T13" s="532"/>
      <c r="U13" s="532"/>
      <c r="V13" s="532"/>
      <c r="W13" s="532"/>
      <c r="X13" s="532"/>
      <c r="Y13" s="532"/>
      <c r="Z13" s="532"/>
      <c r="AA13" s="532"/>
      <c r="AB13" s="532"/>
      <c r="AC13" s="532"/>
      <c r="AD13" s="532"/>
      <c r="AE13" s="532"/>
      <c r="AF13" s="524"/>
      <c r="AG13" s="525"/>
      <c r="AL13" s="238" t="str">
        <f>pelaaja2_1</f>
        <v>Nevalainen Ari</v>
      </c>
      <c r="AN13" s="209"/>
      <c r="AO13" s="250" t="str">
        <f>IF(tilasto!B14=0,"",tilasto!B14)</f>
        <v>Nyholm Mikael</v>
      </c>
      <c r="AP13" s="238" t="str">
        <f>C13</f>
        <v>Lindholm Tobias</v>
      </c>
      <c r="AQ13" s="209"/>
      <c r="AR13" s="208" t="str">
        <f>IF(tilasto!B27=0,"",tilasto!B27)</f>
        <v>Lokkinen Marko</v>
      </c>
      <c r="AS13" s="209"/>
      <c r="AT13" s="214"/>
    </row>
    <row r="14" spans="1:47" ht="30" customHeight="1" x14ac:dyDescent="0.25">
      <c r="B14" s="456">
        <v>2</v>
      </c>
      <c r="C14" s="541" t="s">
        <v>116</v>
      </c>
      <c r="D14" s="542"/>
      <c r="E14" s="542"/>
      <c r="F14" s="542"/>
      <c r="G14" s="542"/>
      <c r="H14" s="542"/>
      <c r="I14" s="542"/>
      <c r="J14" s="542"/>
      <c r="K14" s="542"/>
      <c r="L14" s="542"/>
      <c r="M14" s="454"/>
      <c r="N14" s="456">
        <v>2</v>
      </c>
      <c r="O14" s="533" t="s">
        <v>118</v>
      </c>
      <c r="P14" s="534"/>
      <c r="Q14" s="534"/>
      <c r="R14" s="534"/>
      <c r="S14" s="534"/>
      <c r="T14" s="534"/>
      <c r="U14" s="534"/>
      <c r="V14" s="534"/>
      <c r="W14" s="534"/>
      <c r="X14" s="534"/>
      <c r="Y14" s="534"/>
      <c r="Z14" s="534"/>
      <c r="AA14" s="534"/>
      <c r="AB14" s="534"/>
      <c r="AC14" s="534"/>
      <c r="AD14" s="534"/>
      <c r="AE14" s="534"/>
      <c r="AF14" s="524"/>
      <c r="AG14" s="525"/>
      <c r="AL14" s="238" t="str">
        <f>O14</f>
        <v>Partanen Jarkko</v>
      </c>
      <c r="AN14" s="209"/>
      <c r="AO14" s="250" t="str">
        <f>IF(tilasto!B15=0,"",tilasto!B15)</f>
        <v/>
      </c>
      <c r="AP14" s="238" t="str">
        <f>C14</f>
        <v>Holmström Bjarne</v>
      </c>
      <c r="AQ14" s="209"/>
      <c r="AR14" s="208" t="str">
        <f>IF(tilasto!B28=0,"",tilasto!B28)</f>
        <v/>
      </c>
      <c r="AS14" s="209"/>
      <c r="AT14" s="214"/>
    </row>
    <row r="15" spans="1:47" ht="30" customHeight="1" x14ac:dyDescent="0.25">
      <c r="B15" s="456">
        <v>3</v>
      </c>
      <c r="C15" s="544" t="s">
        <v>114</v>
      </c>
      <c r="D15" s="545"/>
      <c r="E15" s="545"/>
      <c r="F15" s="545"/>
      <c r="G15" s="545"/>
      <c r="H15" s="545"/>
      <c r="I15" s="545"/>
      <c r="J15" s="545"/>
      <c r="K15" s="545"/>
      <c r="L15" s="545"/>
      <c r="M15" s="454"/>
      <c r="N15" s="456">
        <v>3</v>
      </c>
      <c r="O15" s="533" t="s">
        <v>119</v>
      </c>
      <c r="P15" s="534"/>
      <c r="Q15" s="534"/>
      <c r="R15" s="534"/>
      <c r="S15" s="534"/>
      <c r="T15" s="534"/>
      <c r="U15" s="534"/>
      <c r="V15" s="534"/>
      <c r="W15" s="534"/>
      <c r="X15" s="534"/>
      <c r="Y15" s="534"/>
      <c r="Z15" s="534"/>
      <c r="AA15" s="534"/>
      <c r="AB15" s="534"/>
      <c r="AC15" s="534"/>
      <c r="AD15" s="534"/>
      <c r="AE15" s="534"/>
      <c r="AF15" s="524"/>
      <c r="AG15" s="525"/>
      <c r="AL15" s="238" t="str">
        <f>O15</f>
        <v>Mantila Petri</v>
      </c>
      <c r="AN15" s="209"/>
      <c r="AO15" s="250" t="str">
        <f>IF(tilasto!B16=0,"",tilasto!B16)</f>
        <v/>
      </c>
      <c r="AP15" s="238" t="str">
        <f>C15</f>
        <v>Aho Jarno</v>
      </c>
      <c r="AQ15" s="209"/>
      <c r="AR15" s="208" t="str">
        <f>IF(tilasto!B29=0,"",tilasto!B29)</f>
        <v/>
      </c>
      <c r="AS15" s="209"/>
      <c r="AT15" s="214"/>
    </row>
    <row r="16" spans="1:47" ht="30" customHeight="1" x14ac:dyDescent="0.25">
      <c r="B16" s="456">
        <v>4</v>
      </c>
      <c r="C16" s="544" t="s">
        <v>115</v>
      </c>
      <c r="D16" s="545"/>
      <c r="E16" s="545"/>
      <c r="F16" s="545"/>
      <c r="G16" s="545"/>
      <c r="H16" s="545"/>
      <c r="I16" s="545"/>
      <c r="J16" s="545"/>
      <c r="K16" s="545"/>
      <c r="L16" s="545"/>
      <c r="M16" s="454"/>
      <c r="N16" s="456">
        <v>4</v>
      </c>
      <c r="O16" s="533" t="s">
        <v>120</v>
      </c>
      <c r="P16" s="534"/>
      <c r="Q16" s="534"/>
      <c r="R16" s="534"/>
      <c r="S16" s="534"/>
      <c r="T16" s="534"/>
      <c r="U16" s="534"/>
      <c r="V16" s="534"/>
      <c r="W16" s="534"/>
      <c r="X16" s="534"/>
      <c r="Y16" s="534"/>
      <c r="Z16" s="534"/>
      <c r="AA16" s="534"/>
      <c r="AB16" s="534"/>
      <c r="AC16" s="534"/>
      <c r="AD16" s="534"/>
      <c r="AE16" s="534"/>
      <c r="AF16" s="524"/>
      <c r="AG16" s="525"/>
      <c r="AL16" s="238" t="str">
        <f>O16</f>
        <v>Lokkinen Marko</v>
      </c>
      <c r="AN16" s="209"/>
      <c r="AO16" s="250" t="str">
        <f>IF(tilasto!B17=0,"",tilasto!B17)</f>
        <v/>
      </c>
      <c r="AP16" s="238" t="str">
        <f>C16</f>
        <v>Nyholm Mikael</v>
      </c>
      <c r="AQ16" s="209"/>
      <c r="AR16" s="208" t="str">
        <f>IF(tilasto!B30=0,"",tilasto!B30)</f>
        <v/>
      </c>
      <c r="AS16" s="209"/>
      <c r="AT16" s="214"/>
    </row>
    <row r="17" spans="1:47" ht="14.25" customHeight="1" x14ac:dyDescent="0.25">
      <c r="B17" s="6"/>
      <c r="C17" s="6"/>
      <c r="D17" s="6"/>
      <c r="E17" s="6"/>
      <c r="F17" s="6"/>
      <c r="G17" s="6"/>
      <c r="H17" s="5"/>
      <c r="I17" s="6"/>
      <c r="J17" s="6"/>
      <c r="K17" s="6"/>
      <c r="L17" s="6"/>
      <c r="M17" s="6"/>
      <c r="N17" s="5"/>
      <c r="O17" s="6"/>
      <c r="P17" s="6"/>
      <c r="Q17" s="6"/>
      <c r="R17" s="60" t="e">
        <f>IF(AND(M6="x",#REF!=2),3,"")</f>
        <v>#REF!</v>
      </c>
      <c r="S17" s="163"/>
      <c r="T17" s="49" t="e">
        <f>IF(AND(M6="x",#REF!=2),3,"")</f>
        <v>#REF!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N17" s="209"/>
      <c r="AO17" s="250" t="str">
        <f>IF(tilasto!B18=0,"",tilasto!B18)</f>
        <v/>
      </c>
      <c r="AP17" s="209"/>
      <c r="AQ17" s="209"/>
      <c r="AR17" s="208" t="str">
        <f>IF(tilasto!B31=0,"",tilasto!B31)</f>
        <v/>
      </c>
      <c r="AS17" s="209"/>
      <c r="AT17" s="214"/>
    </row>
    <row r="18" spans="1:47" ht="14.25" customHeight="1" x14ac:dyDescent="0.25">
      <c r="B18" s="6" t="str">
        <f>CONCATENATE(B9," aloittaa x:llä merkityt")</f>
        <v>Grönan DC 2 aloittaa x:llä merkityt</v>
      </c>
      <c r="C18" s="6"/>
      <c r="D18" s="6"/>
      <c r="E18" s="6"/>
      <c r="F18" s="6"/>
      <c r="G18" s="6"/>
      <c r="H18" s="429" t="s">
        <v>106</v>
      </c>
      <c r="I18" s="10"/>
      <c r="J18" s="10"/>
      <c r="K18" s="10"/>
      <c r="L18" s="10"/>
      <c r="M18" s="10"/>
      <c r="N18" s="6"/>
      <c r="O18" s="6"/>
      <c r="P18" s="18" t="s">
        <v>106</v>
      </c>
      <c r="Q18" s="18"/>
      <c r="S18" s="327" t="s">
        <v>5</v>
      </c>
      <c r="T18" s="18"/>
      <c r="U18" s="29"/>
      <c r="V18" s="29"/>
      <c r="W18" s="29"/>
      <c r="X18" s="29"/>
      <c r="Y18" s="29"/>
      <c r="Z18" s="29"/>
      <c r="AA18" s="18"/>
      <c r="AB18" s="522"/>
      <c r="AC18" s="522"/>
      <c r="AD18" s="522"/>
      <c r="AE18" s="523"/>
      <c r="AF18" s="523"/>
      <c r="AG18" s="523"/>
      <c r="AH18" s="35"/>
      <c r="AI18" s="35"/>
      <c r="AJ18" s="60"/>
      <c r="AN18" s="209"/>
      <c r="AO18" s="209"/>
      <c r="AP18" s="209"/>
      <c r="AQ18" s="209"/>
      <c r="AR18" s="209"/>
      <c r="AS18" s="209"/>
      <c r="AT18" s="214"/>
    </row>
    <row r="19" spans="1:47" ht="30" customHeight="1" x14ac:dyDescent="0.3">
      <c r="A19" s="24" t="str">
        <f>IF($M$6="x","x","x")</f>
        <v>x</v>
      </c>
      <c r="B19" s="24" t="str">
        <f>IF($M$6="x","1 - 1","1 - 2")</f>
        <v>1 - 2</v>
      </c>
      <c r="C19" s="515" t="str">
        <f>IF(C13=0,"",C13)</f>
        <v>Lindholm Tobias</v>
      </c>
      <c r="D19" s="515"/>
      <c r="E19" s="515"/>
      <c r="F19" s="515"/>
      <c r="G19" s="516"/>
      <c r="H19" s="469">
        <f>IF(C56=0,"",SUM(E56:E60)/SUM(C56:C60))</f>
        <v>16.566666666666666</v>
      </c>
      <c r="I19" s="34" t="s">
        <v>8</v>
      </c>
      <c r="J19" s="515" t="str">
        <f>IF($M$6="x",IF(O13=0,"",O13),IF(O14=0,"",O14))</f>
        <v>Partanen Jarkko</v>
      </c>
      <c r="K19" s="515"/>
      <c r="L19" s="515"/>
      <c r="M19" s="515"/>
      <c r="N19" s="515"/>
      <c r="O19" s="516"/>
      <c r="P19" s="469">
        <f>IF(L56=0,"",SUM(N56:N60)/SUM(L56:L60))</f>
        <v>13.983193277310924</v>
      </c>
      <c r="Q19" s="128"/>
      <c r="R19" s="88">
        <f>IF(C19="","",COUNT(V19:Z19))</f>
        <v>3</v>
      </c>
      <c r="S19" s="89" t="s">
        <v>8</v>
      </c>
      <c r="T19" s="88">
        <f>IF(J19&lt;&gt;"",COUNT(AB19:AF19),"")</f>
        <v>1</v>
      </c>
      <c r="U19" s="25" t="s">
        <v>9</v>
      </c>
      <c r="V19" s="185">
        <f>IF(E56=501,C56,IF(AI19="l",1,""))</f>
        <v>37</v>
      </c>
      <c r="W19" s="185">
        <f>IF(E57=501,C57,IF(AI19="l",1,""))</f>
        <v>23</v>
      </c>
      <c r="X19" s="185" t="str">
        <f>IF(E58=501,C58,IF(AI19="l",1,""))</f>
        <v/>
      </c>
      <c r="Y19" s="185">
        <f>IF(E59=501,C59,"")</f>
        <v>30</v>
      </c>
      <c r="Z19" s="185" t="str">
        <f>IF(E60=501,C60,"")</f>
        <v/>
      </c>
      <c r="AA19" s="15" t="s">
        <v>8</v>
      </c>
      <c r="AB19" s="185" t="str">
        <f>IF(N56=501,L56,IF(AH19="l",1,""))</f>
        <v/>
      </c>
      <c r="AC19" s="185" t="str">
        <f>IF(N57=501,L57,IF(AH19="l",1,""))</f>
        <v/>
      </c>
      <c r="AD19" s="185">
        <f>IF(N58=501,L58,IF(AH19="l",1,""))</f>
        <v>29</v>
      </c>
      <c r="AE19" s="185" t="str">
        <f>IF(N59=501,L59,"")</f>
        <v/>
      </c>
      <c r="AF19" s="185" t="str">
        <f>IF(N60=501,L60,"")</f>
        <v/>
      </c>
      <c r="AG19" s="26" t="s">
        <v>10</v>
      </c>
      <c r="AH19" s="168">
        <f>H54</f>
        <v>0</v>
      </c>
      <c r="AI19" s="168">
        <f>I54</f>
        <v>0</v>
      </c>
      <c r="AJ19" s="60" t="str">
        <f>IF(C19&lt;&gt;"",IF(J19&lt;&gt;"","Ok","-"),"-")</f>
        <v>Ok</v>
      </c>
      <c r="AK19" s="61" t="str">
        <f>IF(AND(AJ19="ok",R19&lt;3),IF(AND(AJ19="ok",T19&lt;3),"ei pelitietoja","-"),"-")</f>
        <v>-</v>
      </c>
      <c r="AT19" s="214"/>
    </row>
    <row r="20" spans="1:47" ht="30" customHeight="1" x14ac:dyDescent="0.3">
      <c r="A20" s="24" t="str">
        <f>IF($M$6="x","","")</f>
        <v/>
      </c>
      <c r="B20" s="24" t="str">
        <f>IF($M$6="x","2 - 2","2 - 1")</f>
        <v>2 - 1</v>
      </c>
      <c r="C20" s="517" t="str">
        <f>IF(C14=0,"",C14)</f>
        <v>Holmström Bjarne</v>
      </c>
      <c r="D20" s="517"/>
      <c r="E20" s="517"/>
      <c r="F20" s="517"/>
      <c r="G20" s="518"/>
      <c r="H20" s="469">
        <f>IF(C66=0,"",SUM(E66:E70)/SUM(C66:C70))</f>
        <v>17.722222222222221</v>
      </c>
      <c r="I20" s="34" t="s">
        <v>8</v>
      </c>
      <c r="J20" s="515" t="str">
        <f>IF($M$6="x",IF(O14=0,"",O14),IF(O13=0,"",O13))</f>
        <v>Nevalainen Ari</v>
      </c>
      <c r="K20" s="515"/>
      <c r="L20" s="515"/>
      <c r="M20" s="515"/>
      <c r="N20" s="515"/>
      <c r="O20" s="516"/>
      <c r="P20" s="469">
        <f>IF(L66=0,"",SUM(N66:N70)/SUM(L66:L70))</f>
        <v>22.432835820895523</v>
      </c>
      <c r="Q20" s="128"/>
      <c r="R20" s="88">
        <f t="shared" ref="R20:R26" si="0">IF(C20="","",COUNT(V20:Z20))</f>
        <v>0</v>
      </c>
      <c r="S20" s="89" t="s">
        <v>8</v>
      </c>
      <c r="T20" s="88">
        <f t="shared" ref="T20:T26" si="1">IF(J20&lt;&gt;"",COUNT(AB20:AF20),"")</f>
        <v>3</v>
      </c>
      <c r="U20" s="25" t="s">
        <v>9</v>
      </c>
      <c r="V20" s="185" t="str">
        <f>IF(E66=501,C66,IF(AI20="l",1,""))</f>
        <v/>
      </c>
      <c r="W20" s="185" t="str">
        <f>IF(E67=501,C67,IF(AI20="l",1,""))</f>
        <v/>
      </c>
      <c r="X20" s="185" t="str">
        <f>IF(E68=501,C68,IF(AI20="l",1,""))</f>
        <v/>
      </c>
      <c r="Y20" s="185" t="str">
        <f>IF(E69=501,C69,"")</f>
        <v/>
      </c>
      <c r="Z20" s="185" t="str">
        <f>IF(E70=501,C70,"")</f>
        <v/>
      </c>
      <c r="AA20" s="15" t="s">
        <v>8</v>
      </c>
      <c r="AB20" s="185">
        <f>IF(N66=501,L66,IF(AH20="l",1,""))</f>
        <v>23</v>
      </c>
      <c r="AC20" s="185">
        <f>IF(N67=501,L67,IF(AH20="l",1,""))</f>
        <v>18</v>
      </c>
      <c r="AD20" s="185">
        <f>IF(N68=501,L68,IF(AH20="l",1,""))</f>
        <v>26</v>
      </c>
      <c r="AE20" s="185" t="str">
        <f>IF(N69=501,L69,"")</f>
        <v/>
      </c>
      <c r="AF20" s="185" t="str">
        <f>IF(N70=501,L70,"")</f>
        <v/>
      </c>
      <c r="AG20" s="26" t="s">
        <v>10</v>
      </c>
      <c r="AH20" s="168">
        <f>H64</f>
        <v>0</v>
      </c>
      <c r="AI20" s="168">
        <f>I64</f>
        <v>0</v>
      </c>
      <c r="AJ20" s="60" t="str">
        <f t="shared" ref="AJ20:AJ26" si="2">IF(C20&lt;&gt;"",IF(J20&lt;&gt;"","Ok","-"),"-")</f>
        <v>Ok</v>
      </c>
      <c r="AK20" s="61" t="str">
        <f t="shared" ref="AK20:AK26" si="3">IF(AND(AJ20="ok",R20&lt;3),IF(AND(AJ20="ok",T20&lt;3),"ei pelitietoja","-"),"-")</f>
        <v>-</v>
      </c>
      <c r="AT20" s="214"/>
    </row>
    <row r="21" spans="1:47" ht="30" customHeight="1" x14ac:dyDescent="0.3">
      <c r="A21" s="24" t="str">
        <f>IF($M$6="x","x","x")</f>
        <v>x</v>
      </c>
      <c r="B21" s="24" t="str">
        <f>IF($M$6="x","3 - 3","3 - 4")</f>
        <v>3 - 4</v>
      </c>
      <c r="C21" s="517" t="str">
        <f>IF(C15=0,"",C15)</f>
        <v>Aho Jarno</v>
      </c>
      <c r="D21" s="517"/>
      <c r="E21" s="517"/>
      <c r="F21" s="517"/>
      <c r="G21" s="518"/>
      <c r="H21" s="469">
        <f>IF(C76=0,"",SUM(E76:E80)/SUM(C76:C80))</f>
        <v>15.666666666666666</v>
      </c>
      <c r="I21" s="34" t="s">
        <v>8</v>
      </c>
      <c r="J21" s="515" t="str">
        <f>IF($M$6="x",IF(O15=0,"",O15),IF(O16=0,"",O16))</f>
        <v>Lokkinen Marko</v>
      </c>
      <c r="K21" s="515"/>
      <c r="L21" s="515"/>
      <c r="M21" s="515"/>
      <c r="N21" s="515"/>
      <c r="O21" s="516"/>
      <c r="P21" s="469">
        <f>IF(L76=0,"",SUM(N76:N80)/SUM(L76:L80))</f>
        <v>20.875</v>
      </c>
      <c r="Q21" s="128"/>
      <c r="R21" s="88">
        <f t="shared" si="0"/>
        <v>0</v>
      </c>
      <c r="S21" s="89" t="s">
        <v>8</v>
      </c>
      <c r="T21" s="88">
        <f>IF(J21&lt;&gt;"",COUNT(AB21:AF21),"")</f>
        <v>3</v>
      </c>
      <c r="U21" s="25" t="s">
        <v>9</v>
      </c>
      <c r="V21" s="185" t="str">
        <f>IF(E76=501,C76,IF(AI21="l",1,""))</f>
        <v/>
      </c>
      <c r="W21" s="185" t="str">
        <f>IF(E77=501,C77,IF(AI21="l",1,""))</f>
        <v/>
      </c>
      <c r="X21" s="185" t="str">
        <f>IF(E78=501,C78,IF(AI21="l",1,""))</f>
        <v/>
      </c>
      <c r="Y21" s="185" t="str">
        <f>IF(E79=501,C79,"")</f>
        <v/>
      </c>
      <c r="Z21" s="185" t="str">
        <f>IF(E80=501,C80,"")</f>
        <v/>
      </c>
      <c r="AA21" s="15" t="s">
        <v>8</v>
      </c>
      <c r="AB21" s="185">
        <f>IF(N76=501,L76,IF(AH21="l",1,""))</f>
        <v>25</v>
      </c>
      <c r="AC21" s="185">
        <f>IF(N77=501,L77,IF(AH21="l",1,""))</f>
        <v>23</v>
      </c>
      <c r="AD21" s="185">
        <f>IF(N78=501,L78,IF(AH21="l",1,""))</f>
        <v>24</v>
      </c>
      <c r="AE21" s="185" t="str">
        <f>IF(N79=501,L79,"")</f>
        <v/>
      </c>
      <c r="AF21" s="185" t="str">
        <f>IF(N80=501,L80,"")</f>
        <v/>
      </c>
      <c r="AG21" s="26" t="s">
        <v>10</v>
      </c>
      <c r="AH21" s="168">
        <f>H74</f>
        <v>0</v>
      </c>
      <c r="AI21" s="168">
        <f>I74</f>
        <v>0</v>
      </c>
      <c r="AJ21" s="60" t="str">
        <f t="shared" si="2"/>
        <v>Ok</v>
      </c>
      <c r="AK21" s="61" t="str">
        <f t="shared" si="3"/>
        <v>-</v>
      </c>
      <c r="AT21" s="214"/>
    </row>
    <row r="22" spans="1:47" ht="30" customHeight="1" x14ac:dyDescent="0.3">
      <c r="A22" s="24" t="str">
        <f>IF($M$6="x","","")</f>
        <v/>
      </c>
      <c r="B22" s="24" t="str">
        <f>IF($M$6="x","","4 - 3")</f>
        <v>4 - 3</v>
      </c>
      <c r="C22" s="517" t="str">
        <f>IF(C16=0,"",C16)</f>
        <v>Nyholm Mikael</v>
      </c>
      <c r="D22" s="517"/>
      <c r="E22" s="517"/>
      <c r="F22" s="517"/>
      <c r="G22" s="518"/>
      <c r="H22" s="469">
        <f>IF(C86=0,"",SUM(E86:E90)/SUM(C86:C90))</f>
        <v>14.508064516129032</v>
      </c>
      <c r="I22" s="34" t="s">
        <v>8</v>
      </c>
      <c r="J22" s="515" t="str">
        <f>IF($M$6="x",IF(O16=0,"",O16),IF(O15=0,"",O15))</f>
        <v>Mantila Petri</v>
      </c>
      <c r="K22" s="515"/>
      <c r="L22" s="515"/>
      <c r="M22" s="515"/>
      <c r="N22" s="515"/>
      <c r="O22" s="516"/>
      <c r="P22" s="469">
        <f>IF(L86=0,"",SUM(N86:N90)/SUM(L86:L90))</f>
        <v>15.841269841269842</v>
      </c>
      <c r="Q22" s="128"/>
      <c r="R22" s="88">
        <f t="shared" si="0"/>
        <v>1</v>
      </c>
      <c r="S22" s="89" t="s">
        <v>8</v>
      </c>
      <c r="T22" s="88">
        <f t="shared" si="1"/>
        <v>3</v>
      </c>
      <c r="U22" s="25" t="s">
        <v>9</v>
      </c>
      <c r="V22" s="185" t="str">
        <f>IF(E86=501,C86,IF(AI22="l",1,""))</f>
        <v/>
      </c>
      <c r="W22" s="185">
        <f>IF(E87=501,C87,IF(AI22="l",1,""))</f>
        <v>37</v>
      </c>
      <c r="X22" s="185" t="str">
        <f>IF(E88=501,C88,IF(AI22="l",1,""))</f>
        <v/>
      </c>
      <c r="Y22" s="185" t="str">
        <f>IF(E89=501,C89,"")</f>
        <v/>
      </c>
      <c r="Z22" s="185" t="str">
        <f>IF(E90=501,C90,"")</f>
        <v/>
      </c>
      <c r="AA22" s="15" t="s">
        <v>8</v>
      </c>
      <c r="AB22" s="185">
        <f>IF(N86=501,L86,IF(AH22="l",1,""))</f>
        <v>24</v>
      </c>
      <c r="AC22" s="185" t="str">
        <f>IF(N87=501,L87,IF(AH22="l",1,""))</f>
        <v/>
      </c>
      <c r="AD22" s="185">
        <f>IF(N88=501,L88,IF(AH22="l",1,""))</f>
        <v>28</v>
      </c>
      <c r="AE22" s="185">
        <f>IF(N89=501,L89,"")</f>
        <v>38</v>
      </c>
      <c r="AF22" s="185" t="str">
        <f>IF(N90=501,L90,"")</f>
        <v/>
      </c>
      <c r="AG22" s="26" t="s">
        <v>10</v>
      </c>
      <c r="AH22" s="168">
        <f>H84</f>
        <v>0</v>
      </c>
      <c r="AI22" s="168">
        <f>I84</f>
        <v>0</v>
      </c>
      <c r="AJ22" s="60" t="str">
        <f t="shared" si="2"/>
        <v>Ok</v>
      </c>
      <c r="AK22" s="61" t="str">
        <f t="shared" si="3"/>
        <v>-</v>
      </c>
      <c r="AT22" s="214"/>
    </row>
    <row r="23" spans="1:47" ht="30" customHeight="1" x14ac:dyDescent="0.3">
      <c r="A23" s="24" t="str">
        <f>IF($M$6="x","","x")</f>
        <v>x</v>
      </c>
      <c r="B23" s="24" t="str">
        <f>IF($M$6="x","1 - 2","1 - 1")</f>
        <v>1 - 1</v>
      </c>
      <c r="C23" s="517" t="str">
        <f>IF(C13=0,"",C13)</f>
        <v>Lindholm Tobias</v>
      </c>
      <c r="D23" s="517"/>
      <c r="E23" s="517"/>
      <c r="F23" s="517"/>
      <c r="G23" s="518"/>
      <c r="H23" s="469">
        <f>IF(C96=0,"",SUM(E96:E100)/SUM(C96:C100))</f>
        <v>17.357142857142858</v>
      </c>
      <c r="I23" s="34" t="s">
        <v>8</v>
      </c>
      <c r="J23" s="515" t="str">
        <f>IF($M$6="x",IF(O14=0,"",O14),IF(O13=0,"",O13))</f>
        <v>Nevalainen Ari</v>
      </c>
      <c r="K23" s="515"/>
      <c r="L23" s="515"/>
      <c r="M23" s="515"/>
      <c r="N23" s="515"/>
      <c r="O23" s="516"/>
      <c r="P23" s="469">
        <f>IF(L96=0,"",SUM(N96:N100)/SUM(L96:L100))</f>
        <v>18.329268292682926</v>
      </c>
      <c r="Q23" s="128"/>
      <c r="R23" s="88">
        <f t="shared" si="0"/>
        <v>0</v>
      </c>
      <c r="S23" s="89" t="s">
        <v>8</v>
      </c>
      <c r="T23" s="88">
        <f t="shared" si="1"/>
        <v>3</v>
      </c>
      <c r="U23" s="25" t="s">
        <v>9</v>
      </c>
      <c r="V23" s="185" t="str">
        <f>IF(E96=501,C96,IF(AI23="l",1,""))</f>
        <v/>
      </c>
      <c r="W23" s="185" t="str">
        <f>IF(E97=501,C97,IF(AI23="l",1,""))</f>
        <v/>
      </c>
      <c r="X23" s="185" t="str">
        <f>IF(E98=501,C98,IF(AI23="l",1,""))</f>
        <v/>
      </c>
      <c r="Y23" s="185" t="str">
        <f>IF(E99=501,C99,"")</f>
        <v/>
      </c>
      <c r="Z23" s="185" t="str">
        <f>IF(E100=501,C100,"")</f>
        <v/>
      </c>
      <c r="AA23" s="15" t="s">
        <v>8</v>
      </c>
      <c r="AB23" s="185">
        <f>IF(N96=501,L96,IF(AH23="l",1,""))</f>
        <v>28</v>
      </c>
      <c r="AC23" s="185">
        <f>IF(N97=501,L97,IF(AH23="l",1,""))</f>
        <v>34</v>
      </c>
      <c r="AD23" s="185">
        <f>IF(N98=501,L98,IF(AH23="l",1,""))</f>
        <v>20</v>
      </c>
      <c r="AE23" s="185" t="str">
        <f>IF(N99=501,L99,"")</f>
        <v/>
      </c>
      <c r="AF23" s="185" t="str">
        <f>IF(N100=501,L100,"")</f>
        <v/>
      </c>
      <c r="AG23" s="26" t="s">
        <v>10</v>
      </c>
      <c r="AH23" s="168">
        <f>H94</f>
        <v>0</v>
      </c>
      <c r="AI23" s="168">
        <f>I94</f>
        <v>0</v>
      </c>
      <c r="AJ23" s="60" t="str">
        <f t="shared" si="2"/>
        <v>Ok</v>
      </c>
      <c r="AK23" s="61" t="str">
        <f t="shared" si="3"/>
        <v>-</v>
      </c>
    </row>
    <row r="24" spans="1:47" ht="30" customHeight="1" x14ac:dyDescent="0.3">
      <c r="A24" s="24" t="str">
        <f>IF($M$6="x","x","")</f>
        <v/>
      </c>
      <c r="B24" s="24" t="str">
        <f>IF($M$6="x","2 - 3","2 - 2")</f>
        <v>2 - 2</v>
      </c>
      <c r="C24" s="517" t="str">
        <f>IF(C14=0,"",C14)</f>
        <v>Holmström Bjarne</v>
      </c>
      <c r="D24" s="517"/>
      <c r="E24" s="517"/>
      <c r="F24" s="517"/>
      <c r="G24" s="518"/>
      <c r="H24" s="469">
        <f>IF(C106=0,"",SUM(E106:E110)/SUM(C106:C110))</f>
        <v>14.518292682926829</v>
      </c>
      <c r="I24" s="34" t="s">
        <v>8</v>
      </c>
      <c r="J24" s="515" t="str">
        <f>IF($M$6="x",IF(O15=0,"",O15),IF(O14=0,"",O14))</f>
        <v>Partanen Jarkko</v>
      </c>
      <c r="K24" s="515"/>
      <c r="L24" s="515"/>
      <c r="M24" s="515"/>
      <c r="N24" s="515"/>
      <c r="O24" s="516"/>
      <c r="P24" s="469">
        <f>IF(L106=0,"",SUM(N106:N110)/SUM(L106:L110))</f>
        <v>13.762195121951219</v>
      </c>
      <c r="Q24" s="128"/>
      <c r="R24" s="88">
        <f t="shared" si="0"/>
        <v>2</v>
      </c>
      <c r="S24" s="89" t="s">
        <v>8</v>
      </c>
      <c r="T24" s="88">
        <f t="shared" si="1"/>
        <v>3</v>
      </c>
      <c r="U24" s="25" t="s">
        <v>9</v>
      </c>
      <c r="V24" s="185">
        <f>IF(E106=501,C106,IF(AI24="l",1,""))</f>
        <v>30</v>
      </c>
      <c r="W24" s="185" t="str">
        <f>IF(E107=501,C107,IF(AI24="l",1,""))</f>
        <v/>
      </c>
      <c r="X24" s="185" t="str">
        <f>IF(E108=501,C108,IF(AI24="l",1,""))</f>
        <v/>
      </c>
      <c r="Y24" s="185">
        <f>IF(E109=501,C109,"")</f>
        <v>29</v>
      </c>
      <c r="Z24" s="185" t="str">
        <f>IF(E110=501,C110,"")</f>
        <v/>
      </c>
      <c r="AA24" s="15" t="s">
        <v>8</v>
      </c>
      <c r="AB24" s="185" t="str">
        <f>IF(N106=501,L106,IF(AH24="l",1,""))</f>
        <v/>
      </c>
      <c r="AC24" s="185">
        <f>IF(N107=501,L107,IF(AH24="l",1,""))</f>
        <v>33</v>
      </c>
      <c r="AD24" s="185">
        <f>IF(N108=501,L108,IF(AH24="l",1,""))</f>
        <v>40</v>
      </c>
      <c r="AE24" s="185" t="str">
        <f>IF(N109=501,L109,"")</f>
        <v/>
      </c>
      <c r="AF24" s="185">
        <f>IF(N110=501,L110,"")</f>
        <v>34</v>
      </c>
      <c r="AG24" s="26" t="s">
        <v>10</v>
      </c>
      <c r="AH24" s="168">
        <f>H104</f>
        <v>0</v>
      </c>
      <c r="AI24" s="168">
        <f>I104</f>
        <v>0</v>
      </c>
      <c r="AJ24" s="60" t="str">
        <f t="shared" si="2"/>
        <v>Ok</v>
      </c>
      <c r="AK24" s="61" t="str">
        <f t="shared" si="3"/>
        <v>-</v>
      </c>
    </row>
    <row r="25" spans="1:47" ht="30" customHeight="1" x14ac:dyDescent="0.3">
      <c r="A25" s="24" t="str">
        <f>IF($M$6="x","","x")</f>
        <v>x</v>
      </c>
      <c r="B25" s="24" t="str">
        <f>IF($M$6="x","3 - 1","3 - 3")</f>
        <v>3 - 3</v>
      </c>
      <c r="C25" s="517" t="str">
        <f>IF(C15=0,"",C15)</f>
        <v>Aho Jarno</v>
      </c>
      <c r="D25" s="517"/>
      <c r="E25" s="517"/>
      <c r="F25" s="517"/>
      <c r="G25" s="518"/>
      <c r="H25" s="469">
        <f>IF(C116=0,"",SUM(E116:E120)/SUM(C116:C120))</f>
        <v>13.663636363636364</v>
      </c>
      <c r="I25" s="34" t="s">
        <v>8</v>
      </c>
      <c r="J25" s="515" t="str">
        <f>IF($M$6="x",IF(O13=0,"",O13),IF(O15=0,"",O15))</f>
        <v>Mantila Petri</v>
      </c>
      <c r="K25" s="515"/>
      <c r="L25" s="515"/>
      <c r="M25" s="515"/>
      <c r="N25" s="515"/>
      <c r="O25" s="516"/>
      <c r="P25" s="469">
        <f>IF(L116=0,"",SUM(N116:N120)/SUM(L116:L120))</f>
        <v>14</v>
      </c>
      <c r="Q25" s="128"/>
      <c r="R25" s="88">
        <f t="shared" si="0"/>
        <v>3</v>
      </c>
      <c r="S25" s="89" t="s">
        <v>8</v>
      </c>
      <c r="T25" s="88">
        <f t="shared" si="1"/>
        <v>0</v>
      </c>
      <c r="U25" s="25" t="s">
        <v>9</v>
      </c>
      <c r="V25" s="185">
        <f>IF(E116=501,C116,IF(AI25="l",1,""))</f>
        <v>36</v>
      </c>
      <c r="W25" s="185">
        <f>IF(E117=501,C117,IF(AI25="l",1,""))</f>
        <v>33</v>
      </c>
      <c r="X25" s="185">
        <f>IF(E118=501,C118,IF(AI25="l",1,""))</f>
        <v>41</v>
      </c>
      <c r="Y25" s="185" t="str">
        <f>IF(E119=501,C119,"")</f>
        <v/>
      </c>
      <c r="Z25" s="185" t="str">
        <f>IF(E120=501,C120,"")</f>
        <v/>
      </c>
      <c r="AA25" s="15" t="s">
        <v>8</v>
      </c>
      <c r="AB25" s="185" t="str">
        <f>IF(N116=501,L116,IF(AH25="l",1,""))</f>
        <v/>
      </c>
      <c r="AC25" s="185" t="str">
        <f>IF(N117=501,L117,IF(AH25="l",1,""))</f>
        <v/>
      </c>
      <c r="AD25" s="185" t="str">
        <f>IF(N118=501,L118,IF(AH25="l",1,""))</f>
        <v/>
      </c>
      <c r="AE25" s="185" t="str">
        <f>IF(N119=501,L119,"")</f>
        <v/>
      </c>
      <c r="AF25" s="185" t="str">
        <f>IF(N120=501,L120,"")</f>
        <v/>
      </c>
      <c r="AG25" s="26" t="s">
        <v>10</v>
      </c>
      <c r="AH25" s="168">
        <f>H114</f>
        <v>0</v>
      </c>
      <c r="AI25" s="168">
        <f>I114</f>
        <v>0</v>
      </c>
      <c r="AJ25" s="60" t="str">
        <f t="shared" si="2"/>
        <v>Ok</v>
      </c>
      <c r="AK25" s="61" t="str">
        <f t="shared" si="3"/>
        <v>-</v>
      </c>
    </row>
    <row r="26" spans="1:47" ht="30" customHeight="1" x14ac:dyDescent="0.3">
      <c r="A26" s="24" t="str">
        <f>IF($M$6="x","","")</f>
        <v/>
      </c>
      <c r="B26" s="24" t="str">
        <f>IF($M$6="x","","4 - 4")</f>
        <v>4 - 4</v>
      </c>
      <c r="C26" s="517" t="str">
        <f>IF(C16=0,"",C16)</f>
        <v>Nyholm Mikael</v>
      </c>
      <c r="D26" s="517"/>
      <c r="E26" s="517"/>
      <c r="F26" s="517"/>
      <c r="G26" s="518"/>
      <c r="H26" s="469">
        <f>IF(C126=0,"",SUM(E126:E130)/SUM(C126:C130))</f>
        <v>14.492957746478874</v>
      </c>
      <c r="I26" s="34" t="s">
        <v>8</v>
      </c>
      <c r="J26" s="515" t="str">
        <f>IF(O16=0,"",O16)</f>
        <v>Lokkinen Marko</v>
      </c>
      <c r="K26" s="515"/>
      <c r="L26" s="515"/>
      <c r="M26" s="515"/>
      <c r="N26" s="515"/>
      <c r="O26" s="516"/>
      <c r="P26" s="469">
        <f>IF(L126=0,"",SUM(N126:N130)/SUM(L126:L130))</f>
        <v>17.082758620689656</v>
      </c>
      <c r="Q26" s="128"/>
      <c r="R26" s="248">
        <f t="shared" si="0"/>
        <v>2</v>
      </c>
      <c r="S26" s="89" t="s">
        <v>8</v>
      </c>
      <c r="T26" s="248">
        <f t="shared" si="1"/>
        <v>3</v>
      </c>
      <c r="U26" s="25" t="s">
        <v>9</v>
      </c>
      <c r="V26" s="185">
        <f>IF(E126=501,C126,IF(AI26="l",1,""))</f>
        <v>39</v>
      </c>
      <c r="W26" s="185">
        <f>IF(E127=501,C127,IF(AI26="l",1,""))</f>
        <v>28</v>
      </c>
      <c r="X26" s="185" t="str">
        <f>IF(E128=501,C128,IF(AI26="l",1,""))</f>
        <v/>
      </c>
      <c r="Y26" s="185" t="str">
        <f>IF(E129=501,C129,"")</f>
        <v/>
      </c>
      <c r="Z26" s="185" t="str">
        <f>IF(E130=501,C130,"")</f>
        <v/>
      </c>
      <c r="AA26" s="15" t="s">
        <v>8</v>
      </c>
      <c r="AB26" s="185" t="str">
        <f>IF(N126=501,L126,IF(AH26="l",1,""))</f>
        <v/>
      </c>
      <c r="AC26" s="185" t="str">
        <f>IF(N127=501,L127,IF(AH26="l",1,""))</f>
        <v/>
      </c>
      <c r="AD26" s="185">
        <f>IF(N128=501,L128,IF(AH26="l",1,""))</f>
        <v>26</v>
      </c>
      <c r="AE26" s="185">
        <f>IF(N129=501,L129,"")</f>
        <v>23</v>
      </c>
      <c r="AF26" s="185">
        <f>IF(N130=501,L130,"")</f>
        <v>30</v>
      </c>
      <c r="AG26" s="26" t="s">
        <v>10</v>
      </c>
      <c r="AH26" s="168">
        <f>H124</f>
        <v>0</v>
      </c>
      <c r="AI26" s="168">
        <f>I124</f>
        <v>0</v>
      </c>
      <c r="AJ26" s="60" t="str">
        <f t="shared" si="2"/>
        <v>Ok</v>
      </c>
      <c r="AK26" s="61" t="str">
        <f t="shared" si="3"/>
        <v>-</v>
      </c>
    </row>
    <row r="27" spans="1:47" s="11" customFormat="1" ht="30" hidden="1" customHeight="1" x14ac:dyDescent="0.3">
      <c r="A27" s="173"/>
      <c r="B27" s="174"/>
      <c r="C27" s="546"/>
      <c r="D27" s="547"/>
      <c r="E27" s="547"/>
      <c r="F27" s="547"/>
      <c r="G27" s="547"/>
      <c r="H27" s="547"/>
      <c r="I27" s="175"/>
      <c r="J27" s="550"/>
      <c r="K27" s="550"/>
      <c r="L27" s="550"/>
      <c r="M27" s="550"/>
      <c r="N27" s="550"/>
      <c r="O27" s="550"/>
      <c r="P27" s="459"/>
      <c r="Q27" s="460"/>
      <c r="R27" s="468">
        <f>SUMIF(R19:R26,"&gt;0",R19:R26)</f>
        <v>11</v>
      </c>
      <c r="S27" s="328"/>
      <c r="T27" s="468">
        <f>SUMIF(T19:T26,"&gt;0",T19:T26)</f>
        <v>19</v>
      </c>
      <c r="U27" s="461"/>
      <c r="V27" s="462">
        <f>IF(R27=0,0,COUNTIF(R19:R26,"3"))</f>
        <v>2</v>
      </c>
      <c r="W27" s="463">
        <f>IF(T27=0,0,COUNTIF(T19:T26,"3"))</f>
        <v>6</v>
      </c>
      <c r="X27" s="464"/>
      <c r="Y27" s="33"/>
      <c r="Z27" s="33"/>
      <c r="AA27" s="177"/>
      <c r="AB27" s="33"/>
      <c r="AC27" s="33"/>
      <c r="AD27" s="33"/>
      <c r="AE27" s="33"/>
      <c r="AF27" s="33"/>
      <c r="AG27" s="26"/>
      <c r="AH27" s="168"/>
      <c r="AI27" s="171"/>
      <c r="AJ27" s="60"/>
      <c r="AK27" s="61"/>
      <c r="AL27" s="251"/>
      <c r="AM27" s="254"/>
      <c r="AN27" s="251"/>
      <c r="AO27" s="251"/>
      <c r="AP27" s="251"/>
      <c r="AQ27" s="251"/>
      <c r="AR27" s="251"/>
      <c r="AS27" s="251"/>
      <c r="AT27" s="251"/>
      <c r="AU27" s="251"/>
    </row>
    <row r="28" spans="1:47" ht="19.5" hidden="1" customHeight="1" x14ac:dyDescent="0.25">
      <c r="A28" s="82"/>
      <c r="B28" s="6"/>
      <c r="C28" s="32"/>
      <c r="D28" s="32"/>
      <c r="E28" s="32"/>
      <c r="F28" s="32"/>
      <c r="G28" s="32"/>
      <c r="H28" s="30"/>
      <c r="I28" s="31"/>
      <c r="J28" s="465"/>
      <c r="K28" s="465"/>
      <c r="L28" s="465"/>
      <c r="M28" s="465"/>
      <c r="N28" s="51"/>
      <c r="O28" s="548" t="s">
        <v>6</v>
      </c>
      <c r="P28" s="549"/>
      <c r="Q28" s="466"/>
      <c r="R28" s="39"/>
      <c r="S28" s="467" t="s">
        <v>8</v>
      </c>
      <c r="T28" s="39"/>
      <c r="U28" s="51"/>
      <c r="V28" s="51"/>
      <c r="W28" s="51"/>
      <c r="X28" s="51"/>
      <c r="Y28" s="30"/>
      <c r="Z28" s="30"/>
      <c r="AA28" s="32"/>
      <c r="AB28" s="30"/>
      <c r="AC28" s="30"/>
      <c r="AD28" s="30"/>
      <c r="AE28" s="30"/>
      <c r="AF28" s="30"/>
      <c r="AG28" s="30"/>
      <c r="AH28" s="167"/>
      <c r="AI28" s="167"/>
      <c r="AJ28" s="64"/>
      <c r="AK28" s="167">
        <f>COUNTIF(AK19:AK26,"ei pelitietoja")</f>
        <v>0</v>
      </c>
    </row>
    <row r="29" spans="1:47" ht="16.5" hidden="1" customHeight="1" x14ac:dyDescent="0.2">
      <c r="B29" s="10"/>
      <c r="C29" s="10"/>
      <c r="D29" s="10"/>
      <c r="E29" s="10"/>
      <c r="F29" s="10"/>
      <c r="G29" s="10"/>
      <c r="H29" s="6"/>
      <c r="I29" s="12"/>
      <c r="J29" s="12"/>
      <c r="K29" s="12"/>
      <c r="L29" s="12"/>
      <c r="M29" s="12"/>
      <c r="N29" s="6"/>
      <c r="O29" s="6"/>
      <c r="P29" s="10"/>
      <c r="Q29" s="10"/>
      <c r="R29" s="6"/>
      <c r="S29" s="163"/>
      <c r="T29" s="6"/>
      <c r="U29" s="6"/>
      <c r="V29" s="6"/>
      <c r="W29" s="6"/>
      <c r="X29" s="6"/>
      <c r="Y29" s="6"/>
      <c r="Z29" s="6"/>
      <c r="AA29" s="10"/>
      <c r="AB29" s="6"/>
      <c r="AC29" s="6"/>
      <c r="AD29" s="6"/>
      <c r="AE29" s="6"/>
      <c r="AF29" s="6"/>
      <c r="AG29" s="6"/>
      <c r="AK29" s="60"/>
    </row>
    <row r="30" spans="1:47" s="13" customFormat="1" ht="43.5" customHeight="1" x14ac:dyDescent="0.25">
      <c r="A30" s="6"/>
      <c r="B30" s="16" t="s">
        <v>12</v>
      </c>
      <c r="C30" s="10"/>
      <c r="D30" s="10"/>
      <c r="E30" s="10"/>
      <c r="F30" s="10"/>
      <c r="G30" s="10"/>
      <c r="H30" s="6"/>
      <c r="I30" s="12"/>
      <c r="J30" s="12"/>
      <c r="K30" s="12"/>
      <c r="L30" s="12"/>
      <c r="M30" s="12"/>
      <c r="N30" s="6"/>
      <c r="O30" s="6"/>
      <c r="P30" s="6"/>
      <c r="Q30" s="6"/>
      <c r="R30" s="6"/>
      <c r="S30" s="163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1"/>
      <c r="AI30" s="61"/>
      <c r="AJ30" s="61"/>
      <c r="AK30" s="61"/>
      <c r="AL30" s="209"/>
      <c r="AM30" s="253"/>
      <c r="AN30" s="209"/>
      <c r="AO30" s="209"/>
      <c r="AP30" s="209"/>
      <c r="AQ30" s="209"/>
      <c r="AR30" s="209"/>
      <c r="AS30" s="209"/>
      <c r="AT30" s="209"/>
      <c r="AU30" s="209"/>
    </row>
    <row r="31" spans="1:47" ht="26.25" customHeight="1" x14ac:dyDescent="0.5">
      <c r="A31" s="14"/>
      <c r="B31" s="519" t="str">
        <f>CONCATENATE(B9," - ",O9,"     ",V27," - ",W27)</f>
        <v>Grönan DC 2 - Ohari DC 2     2 - 6</v>
      </c>
      <c r="C31" s="519"/>
      <c r="D31" s="519"/>
      <c r="E31" s="519"/>
      <c r="F31" s="519"/>
      <c r="G31" s="519"/>
      <c r="H31" s="519"/>
      <c r="I31" s="519"/>
      <c r="J31" s="519"/>
      <c r="K31" s="519"/>
      <c r="L31" s="519"/>
      <c r="M31" s="519"/>
      <c r="N31" s="519"/>
      <c r="O31" s="519"/>
      <c r="Q31" s="323"/>
      <c r="S31" s="406"/>
      <c r="T31" s="407"/>
      <c r="U31" s="407"/>
      <c r="V31" s="408"/>
      <c r="W31" s="294"/>
      <c r="X31" s="409"/>
      <c r="Y31" s="294"/>
      <c r="Z31" s="294"/>
      <c r="AA31" s="294"/>
      <c r="AB31" s="294"/>
      <c r="AC31" s="294"/>
      <c r="AD31" s="294"/>
      <c r="AE31" s="294"/>
      <c r="AF31" s="408"/>
      <c r="AG31" s="14"/>
      <c r="AH31" s="65"/>
      <c r="AI31" s="65"/>
      <c r="AJ31" s="65"/>
      <c r="AK31" s="65"/>
    </row>
    <row r="32" spans="1:47" ht="33" customHeight="1" x14ac:dyDescent="0.25">
      <c r="B32" s="306" t="s">
        <v>83</v>
      </c>
      <c r="C32" s="10"/>
      <c r="D32" s="10"/>
      <c r="E32" s="10"/>
      <c r="F32" s="10"/>
      <c r="G32" s="10"/>
      <c r="H32" s="14"/>
      <c r="I32" s="15"/>
      <c r="J32" s="15"/>
      <c r="K32" s="15"/>
      <c r="L32" s="15"/>
      <c r="M32" s="15"/>
      <c r="N32" s="14"/>
      <c r="O32" s="14"/>
      <c r="P32" s="16"/>
      <c r="Q32" s="16"/>
      <c r="R32" s="14"/>
      <c r="S32" s="329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47" ht="14.25" customHeight="1" x14ac:dyDescent="0.25">
      <c r="B33" s="21" t="s">
        <v>84</v>
      </c>
      <c r="C33" s="17"/>
      <c r="D33" s="17"/>
      <c r="E33" s="17"/>
      <c r="F33" s="17"/>
      <c r="H33" s="21" t="s">
        <v>81</v>
      </c>
      <c r="I33" s="10"/>
      <c r="J33" s="10"/>
      <c r="K33" s="10"/>
      <c r="L33" s="10"/>
      <c r="M33" s="10"/>
      <c r="N33" s="6"/>
      <c r="O33" s="14" t="s">
        <v>84</v>
      </c>
      <c r="P33" s="6"/>
      <c r="R33" s="6"/>
      <c r="S33" s="163"/>
      <c r="T33" s="6"/>
      <c r="U33" s="6"/>
      <c r="V33" s="21" t="s">
        <v>81</v>
      </c>
      <c r="W33" s="6"/>
      <c r="X33" s="6"/>
      <c r="Z33" s="6"/>
      <c r="AA33" s="6"/>
      <c r="AC33" s="6"/>
      <c r="AD33" s="6"/>
      <c r="AE33" s="6"/>
      <c r="AF33" s="6"/>
      <c r="AG33" s="6"/>
    </row>
    <row r="34" spans="1:47" ht="31.5" customHeight="1" x14ac:dyDescent="0.25">
      <c r="A34" s="17"/>
      <c r="B34" s="512" t="str">
        <f>C13</f>
        <v>Lindholm Tobias</v>
      </c>
      <c r="C34" s="512"/>
      <c r="D34" s="512"/>
      <c r="E34" s="512"/>
      <c r="F34" s="512"/>
      <c r="G34" s="512"/>
      <c r="H34" s="488"/>
      <c r="I34" s="488"/>
      <c r="J34" s="488"/>
      <c r="K34" s="488"/>
      <c r="L34" s="488"/>
      <c r="M34" s="488"/>
      <c r="N34" s="488"/>
      <c r="O34" s="513" t="str">
        <f>O13</f>
        <v>Nevalainen Ari</v>
      </c>
      <c r="P34" s="513"/>
      <c r="Q34" s="513"/>
      <c r="R34" s="513"/>
      <c r="S34" s="513"/>
      <c r="T34" s="513"/>
      <c r="U34" s="513"/>
      <c r="V34" s="543" t="s">
        <v>121</v>
      </c>
      <c r="W34" s="543"/>
      <c r="X34" s="543"/>
      <c r="Y34" s="543"/>
      <c r="Z34" s="543"/>
      <c r="AA34" s="543"/>
      <c r="AB34" s="543"/>
      <c r="AC34" s="543"/>
      <c r="AD34" s="543"/>
      <c r="AE34" s="543"/>
      <c r="AF34" s="543"/>
      <c r="AG34" s="543"/>
      <c r="AH34" s="543"/>
      <c r="AI34" s="324"/>
      <c r="AJ34" s="324"/>
    </row>
    <row r="35" spans="1:47" s="5" customFormat="1" ht="31.5" customHeight="1" x14ac:dyDescent="0.25">
      <c r="A35" s="6"/>
      <c r="B35" s="512" t="str">
        <f>C14</f>
        <v>Holmström Bjarne</v>
      </c>
      <c r="C35" s="512"/>
      <c r="D35" s="512"/>
      <c r="E35" s="512"/>
      <c r="F35" s="512"/>
      <c r="G35" s="512"/>
      <c r="H35" s="488"/>
      <c r="I35" s="488"/>
      <c r="J35" s="488"/>
      <c r="K35" s="488"/>
      <c r="L35" s="488"/>
      <c r="M35" s="488"/>
      <c r="N35" s="488"/>
      <c r="O35" s="513" t="str">
        <f>O14</f>
        <v>Partanen Jarkko</v>
      </c>
      <c r="P35" s="513"/>
      <c r="Q35" s="513"/>
      <c r="R35" s="513"/>
      <c r="S35" s="513"/>
      <c r="T35" s="513"/>
      <c r="U35" s="513"/>
      <c r="V35" s="543" t="s">
        <v>121</v>
      </c>
      <c r="W35" s="543"/>
      <c r="X35" s="543"/>
      <c r="Y35" s="543"/>
      <c r="Z35" s="543"/>
      <c r="AA35" s="543"/>
      <c r="AB35" s="543"/>
      <c r="AC35" s="543"/>
      <c r="AD35" s="543"/>
      <c r="AE35" s="543"/>
      <c r="AF35" s="543"/>
      <c r="AG35" s="543"/>
      <c r="AH35" s="543"/>
      <c r="AI35" s="324"/>
      <c r="AJ35" s="324"/>
      <c r="AK35" s="60"/>
      <c r="AL35" s="48"/>
      <c r="AM35" s="255"/>
      <c r="AN35" s="48"/>
      <c r="AO35" s="48"/>
      <c r="AP35" s="48"/>
      <c r="AQ35" s="48"/>
      <c r="AR35" s="48"/>
      <c r="AS35" s="48"/>
      <c r="AT35" s="48"/>
      <c r="AU35" s="48"/>
    </row>
    <row r="36" spans="1:47" s="5" customFormat="1" ht="31.5" customHeight="1" x14ac:dyDescent="0.25">
      <c r="B36" s="512" t="str">
        <f>C15</f>
        <v>Aho Jarno</v>
      </c>
      <c r="C36" s="512"/>
      <c r="D36" s="512"/>
      <c r="E36" s="512"/>
      <c r="F36" s="512"/>
      <c r="G36" s="512"/>
      <c r="H36" s="488"/>
      <c r="I36" s="488"/>
      <c r="J36" s="488"/>
      <c r="K36" s="488"/>
      <c r="L36" s="488"/>
      <c r="M36" s="488"/>
      <c r="N36" s="488"/>
      <c r="O36" s="513" t="str">
        <f>O15</f>
        <v>Mantila Petri</v>
      </c>
      <c r="P36" s="513"/>
      <c r="Q36" s="513"/>
      <c r="R36" s="513"/>
      <c r="S36" s="513"/>
      <c r="T36" s="513"/>
      <c r="U36" s="513"/>
      <c r="V36" s="543"/>
      <c r="W36" s="543"/>
      <c r="X36" s="543"/>
      <c r="Y36" s="543"/>
      <c r="Z36" s="543"/>
      <c r="AA36" s="543"/>
      <c r="AB36" s="543"/>
      <c r="AC36" s="543"/>
      <c r="AD36" s="543"/>
      <c r="AE36" s="543"/>
      <c r="AF36" s="543"/>
      <c r="AG36" s="543"/>
      <c r="AH36" s="543"/>
      <c r="AI36" s="324"/>
      <c r="AJ36" s="324"/>
      <c r="AK36" s="66"/>
      <c r="AL36" s="48"/>
      <c r="AM36" s="255"/>
      <c r="AN36" s="48"/>
      <c r="AO36" s="48"/>
      <c r="AP36" s="48"/>
      <c r="AQ36" s="48"/>
      <c r="AR36" s="48"/>
      <c r="AS36" s="48"/>
      <c r="AT36" s="48"/>
      <c r="AU36" s="48"/>
    </row>
    <row r="37" spans="1:47" ht="30.75" customHeight="1" x14ac:dyDescent="0.25">
      <c r="A37" s="83"/>
      <c r="B37" s="512" t="str">
        <f>C16</f>
        <v>Nyholm Mikael</v>
      </c>
      <c r="C37" s="512"/>
      <c r="D37" s="512"/>
      <c r="E37" s="512"/>
      <c r="F37" s="512"/>
      <c r="G37" s="512"/>
      <c r="H37" s="488"/>
      <c r="I37" s="488"/>
      <c r="J37" s="488"/>
      <c r="K37" s="488"/>
      <c r="L37" s="488"/>
      <c r="M37" s="488"/>
      <c r="N37" s="488"/>
      <c r="O37" s="513" t="str">
        <f>O16</f>
        <v>Lokkinen Marko</v>
      </c>
      <c r="P37" s="513"/>
      <c r="Q37" s="513"/>
      <c r="R37" s="513"/>
      <c r="S37" s="513"/>
      <c r="T37" s="513"/>
      <c r="U37" s="513"/>
      <c r="V37" s="543"/>
      <c r="W37" s="543"/>
      <c r="X37" s="543"/>
      <c r="Y37" s="543"/>
      <c r="Z37" s="543"/>
      <c r="AA37" s="543"/>
      <c r="AB37" s="543"/>
      <c r="AC37" s="543"/>
      <c r="AD37" s="543"/>
      <c r="AE37" s="543"/>
      <c r="AF37" s="543"/>
      <c r="AG37" s="543"/>
      <c r="AH37" s="543"/>
      <c r="AI37" s="324"/>
      <c r="AJ37" s="324"/>
      <c r="AK37" s="67"/>
    </row>
    <row r="38" spans="1:47" ht="15" customHeight="1" x14ac:dyDescent="0.25">
      <c r="B38" s="5"/>
      <c r="C38" s="5"/>
      <c r="D38" s="5"/>
      <c r="E38" s="5"/>
      <c r="F38" s="5"/>
      <c r="G38" s="5"/>
      <c r="H38" s="5"/>
      <c r="I38" s="353"/>
      <c r="J38" s="353"/>
      <c r="K38" s="353"/>
      <c r="L38" s="353"/>
      <c r="M38" s="353"/>
      <c r="N38" s="4"/>
      <c r="O38" s="95"/>
      <c r="P38" s="325"/>
      <c r="Q38" s="354"/>
      <c r="R38" s="95"/>
      <c r="S38" s="32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63"/>
    </row>
    <row r="39" spans="1:47" ht="29.25" hidden="1" customHeight="1" x14ac:dyDescent="0.25">
      <c r="B39" s="5"/>
      <c r="C39" s="5"/>
      <c r="D39" s="5"/>
      <c r="E39" s="5"/>
      <c r="F39" s="5"/>
      <c r="G39" s="5"/>
      <c r="H39" s="5"/>
      <c r="I39" s="353"/>
      <c r="J39" s="353"/>
      <c r="K39" s="353"/>
      <c r="L39" s="353"/>
      <c r="M39" s="355"/>
      <c r="N39" s="4"/>
      <c r="O39" s="356"/>
      <c r="P39" s="325"/>
      <c r="Q39" s="354"/>
      <c r="R39" s="356"/>
      <c r="S39" s="357"/>
      <c r="T39" s="358"/>
      <c r="U39" s="356"/>
      <c r="V39" s="95"/>
      <c r="W39" s="356"/>
      <c r="X39" s="95"/>
      <c r="Y39" s="356"/>
      <c r="Z39" s="95"/>
      <c r="AA39" s="95"/>
      <c r="AB39" s="356"/>
      <c r="AC39" s="95"/>
      <c r="AD39" s="95"/>
      <c r="AE39" s="95"/>
      <c r="AF39" s="95"/>
      <c r="AG39" s="95"/>
      <c r="AH39" s="63"/>
    </row>
    <row r="40" spans="1:47" ht="21" hidden="1" customHeight="1" x14ac:dyDescent="0.2">
      <c r="B40" s="4"/>
      <c r="C40" s="4"/>
      <c r="D40" s="4"/>
      <c r="E40" s="4"/>
      <c r="F40" s="4"/>
      <c r="G40" s="4"/>
      <c r="H40" s="4"/>
      <c r="I40" s="355"/>
      <c r="J40" s="355"/>
      <c r="K40" s="355"/>
      <c r="L40" s="355"/>
      <c r="M40" s="355"/>
      <c r="N40" s="4"/>
      <c r="O40" s="4"/>
      <c r="P40" s="4"/>
      <c r="Q40" s="4"/>
      <c r="R40" s="4"/>
      <c r="S40" s="357"/>
      <c r="T40" s="4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63"/>
    </row>
    <row r="41" spans="1:47" ht="30" hidden="1" customHeight="1" x14ac:dyDescent="0.2">
      <c r="B41" s="4"/>
      <c r="C41" s="4"/>
      <c r="D41" s="4"/>
      <c r="E41" s="4"/>
      <c r="F41" s="4"/>
      <c r="G41" s="4"/>
      <c r="H41" s="4"/>
      <c r="I41" s="355"/>
      <c r="J41" s="355"/>
      <c r="K41" s="355"/>
      <c r="L41" s="355"/>
      <c r="M41" s="355"/>
      <c r="N41" s="4"/>
      <c r="O41" s="4"/>
      <c r="P41" s="4"/>
      <c r="Q41" s="4"/>
      <c r="R41" s="4"/>
      <c r="S41" s="357"/>
      <c r="T41" s="4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63"/>
    </row>
    <row r="42" spans="1:47" hidden="1" x14ac:dyDescent="0.2">
      <c r="B42" s="5"/>
      <c r="C42" s="5"/>
      <c r="D42" s="5"/>
      <c r="E42" s="5"/>
      <c r="F42" s="5"/>
      <c r="G42" s="5"/>
      <c r="H42" s="5"/>
      <c r="I42" s="353"/>
      <c r="J42" s="353"/>
      <c r="K42" s="353"/>
      <c r="L42" s="353"/>
      <c r="M42" s="353"/>
      <c r="N42" s="5"/>
      <c r="O42" s="5"/>
      <c r="P42" s="5"/>
      <c r="Q42" s="5"/>
      <c r="R42" s="5"/>
      <c r="S42" s="32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63"/>
    </row>
    <row r="43" spans="1:47" ht="21.75" hidden="1" customHeight="1" x14ac:dyDescent="0.2">
      <c r="B43" s="5"/>
      <c r="C43" s="5"/>
      <c r="D43" s="5"/>
      <c r="E43" s="5"/>
      <c r="F43" s="5"/>
      <c r="G43" s="5"/>
      <c r="H43" s="5"/>
      <c r="I43" s="353"/>
      <c r="J43" s="353"/>
      <c r="K43" s="353"/>
      <c r="L43" s="353"/>
      <c r="M43" s="353"/>
      <c r="N43" s="5"/>
      <c r="O43" s="5"/>
      <c r="P43" s="5"/>
      <c r="Q43" s="5"/>
      <c r="R43" s="5"/>
      <c r="S43" s="32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63"/>
    </row>
    <row r="44" spans="1:47" ht="12" hidden="1" customHeight="1" x14ac:dyDescent="0.2">
      <c r="B44" s="5"/>
      <c r="C44" s="5"/>
      <c r="D44" s="5"/>
      <c r="E44" s="5"/>
      <c r="F44" s="5"/>
      <c r="G44" s="5"/>
      <c r="H44" s="5"/>
      <c r="I44" s="353"/>
      <c r="J44" s="353"/>
      <c r="K44" s="353"/>
      <c r="L44" s="353"/>
      <c r="M44" s="353"/>
      <c r="N44" s="5"/>
      <c r="O44" s="5"/>
      <c r="P44" s="5"/>
      <c r="Q44" s="5"/>
      <c r="R44" s="5"/>
      <c r="S44" s="32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63"/>
    </row>
    <row r="45" spans="1:47" x14ac:dyDescent="0.2">
      <c r="B45" s="514" t="s">
        <v>85</v>
      </c>
      <c r="C45" s="514"/>
      <c r="D45" s="514"/>
      <c r="E45" s="514"/>
      <c r="F45" s="514"/>
      <c r="G45" s="514"/>
      <c r="H45" s="514"/>
      <c r="I45" s="514"/>
      <c r="J45" s="514"/>
      <c r="K45" s="514"/>
      <c r="L45" s="514"/>
      <c r="M45" s="514"/>
      <c r="N45" s="514"/>
      <c r="O45" s="514"/>
      <c r="P45" s="514"/>
      <c r="Q45" s="514"/>
      <c r="R45" s="514"/>
      <c r="S45" s="514"/>
      <c r="T45" s="514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3"/>
    </row>
    <row r="46" spans="1:47" ht="34.5" customHeight="1" x14ac:dyDescent="0.2">
      <c r="B46" s="514"/>
      <c r="C46" s="514"/>
      <c r="D46" s="514"/>
      <c r="E46" s="514"/>
      <c r="F46" s="514"/>
      <c r="G46" s="514"/>
      <c r="H46" s="514"/>
      <c r="I46" s="514"/>
      <c r="J46" s="514"/>
      <c r="K46" s="514"/>
      <c r="L46" s="514"/>
      <c r="M46" s="514"/>
      <c r="N46" s="514"/>
      <c r="O46" s="514"/>
      <c r="P46" s="514"/>
      <c r="Q46" s="514"/>
      <c r="R46" s="514"/>
      <c r="S46" s="514"/>
      <c r="T46" s="514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63"/>
    </row>
    <row r="47" spans="1:47" s="60" customFormat="1" hidden="1" x14ac:dyDescent="0.2">
      <c r="B47" s="66"/>
      <c r="C47" s="66"/>
      <c r="D47" s="66"/>
      <c r="E47" s="66"/>
      <c r="F47" s="66"/>
      <c r="G47" s="66"/>
      <c r="H47" s="66"/>
      <c r="I47" s="161"/>
      <c r="J47" s="161"/>
      <c r="K47" s="161"/>
      <c r="L47" s="161"/>
      <c r="M47" s="161"/>
      <c r="N47" s="66"/>
      <c r="O47" s="66"/>
      <c r="P47" s="66"/>
      <c r="Q47" s="66"/>
      <c r="R47" s="66"/>
      <c r="S47" s="325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66"/>
      <c r="AE47" s="66"/>
      <c r="AF47" s="66"/>
      <c r="AG47" s="66"/>
      <c r="AH47" s="66"/>
      <c r="AM47" s="203"/>
    </row>
    <row r="48" spans="1:47" s="61" customFormat="1" hidden="1" x14ac:dyDescent="0.2">
      <c r="A48" s="60"/>
      <c r="B48" s="63"/>
      <c r="C48" s="63"/>
      <c r="D48" s="63"/>
      <c r="E48" s="63"/>
      <c r="F48" s="63"/>
      <c r="G48" s="63"/>
      <c r="H48" s="63"/>
      <c r="I48" s="359"/>
      <c r="J48" s="359"/>
      <c r="K48" s="359"/>
      <c r="L48" s="359"/>
      <c r="M48" s="359"/>
      <c r="N48" s="63"/>
      <c r="O48" s="63"/>
      <c r="P48" s="63"/>
      <c r="Q48" s="63"/>
      <c r="R48" s="63"/>
      <c r="S48" s="357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63"/>
      <c r="AE48" s="63"/>
      <c r="AF48" s="63"/>
      <c r="AG48" s="63"/>
      <c r="AH48" s="63"/>
      <c r="AM48" s="202"/>
    </row>
    <row r="49" spans="1:47" s="61" customFormat="1" hidden="1" x14ac:dyDescent="0.2">
      <c r="A49" s="60"/>
      <c r="B49" s="63"/>
      <c r="C49" s="63"/>
      <c r="D49" s="63"/>
      <c r="E49" s="63"/>
      <c r="F49" s="63"/>
      <c r="G49" s="63"/>
      <c r="H49" s="63"/>
      <c r="I49" s="359"/>
      <c r="J49" s="359"/>
      <c r="K49" s="359"/>
      <c r="L49" s="359"/>
      <c r="M49" s="359"/>
      <c r="N49" s="63"/>
      <c r="O49" s="63"/>
      <c r="P49" s="63"/>
      <c r="Q49" s="63"/>
      <c r="R49" s="63"/>
      <c r="S49" s="357"/>
      <c r="T49" s="360"/>
      <c r="U49" s="360"/>
      <c r="V49" s="360"/>
      <c r="W49" s="360"/>
      <c r="X49" s="360"/>
      <c r="Y49" s="360"/>
      <c r="Z49" s="360"/>
      <c r="AA49" s="360"/>
      <c r="AB49" s="360"/>
      <c r="AC49" s="360"/>
      <c r="AD49" s="63"/>
      <c r="AE49" s="63"/>
      <c r="AF49" s="63"/>
      <c r="AG49" s="63"/>
      <c r="AH49" s="63"/>
      <c r="AM49" s="202"/>
    </row>
    <row r="50" spans="1:47" s="61" customFormat="1" hidden="1" x14ac:dyDescent="0.2">
      <c r="A50" s="60"/>
      <c r="B50" s="63"/>
      <c r="C50" s="63"/>
      <c r="D50" s="63"/>
      <c r="E50" s="63"/>
      <c r="F50" s="63"/>
      <c r="G50" s="63"/>
      <c r="H50" s="63"/>
      <c r="I50" s="359"/>
      <c r="J50" s="359"/>
      <c r="K50" s="359"/>
      <c r="L50" s="359"/>
      <c r="M50" s="359"/>
      <c r="N50" s="63"/>
      <c r="O50" s="63"/>
      <c r="P50" s="63"/>
      <c r="Q50" s="63"/>
      <c r="R50" s="63"/>
      <c r="S50" s="357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63"/>
      <c r="AE50" s="63"/>
      <c r="AF50" s="63"/>
      <c r="AG50" s="63"/>
      <c r="AH50" s="63"/>
      <c r="AM50" s="202"/>
    </row>
    <row r="51" spans="1:47" s="61" customFormat="1" hidden="1" x14ac:dyDescent="0.2">
      <c r="A51" s="60"/>
      <c r="B51" s="63"/>
      <c r="C51" s="63"/>
      <c r="D51" s="63"/>
      <c r="E51" s="63"/>
      <c r="F51" s="63"/>
      <c r="G51" s="63"/>
      <c r="H51" s="63"/>
      <c r="I51" s="359"/>
      <c r="J51" s="359"/>
      <c r="K51" s="359"/>
      <c r="L51" s="359"/>
      <c r="M51" s="359"/>
      <c r="N51" s="63"/>
      <c r="O51" s="63"/>
      <c r="P51" s="63"/>
      <c r="Q51" s="63"/>
      <c r="R51" s="63"/>
      <c r="S51" s="357"/>
      <c r="T51" s="360"/>
      <c r="U51" s="63"/>
      <c r="V51" s="357">
        <f>COUNTIF(V56:V143,"TARKISTA JÄI-SARAKE")</f>
        <v>0</v>
      </c>
      <c r="W51" s="63"/>
      <c r="X51" s="63"/>
      <c r="Y51" s="63"/>
      <c r="Z51" s="63"/>
      <c r="AA51" s="63"/>
      <c r="AB51" s="357">
        <f>COUNTIF(AB56:AB143,"toinen TIKAT-sarake tyhjä !")</f>
        <v>0</v>
      </c>
      <c r="AC51" s="63"/>
      <c r="AD51" s="63"/>
      <c r="AE51" s="63"/>
      <c r="AF51" s="63"/>
      <c r="AG51" s="63"/>
      <c r="AH51" s="63"/>
      <c r="AM51" s="202"/>
    </row>
    <row r="52" spans="1:47" s="61" customFormat="1" ht="15.75" thickBot="1" x14ac:dyDescent="0.25">
      <c r="A52" s="60"/>
      <c r="B52" s="63"/>
      <c r="C52" s="63"/>
      <c r="D52" s="63"/>
      <c r="E52" s="63"/>
      <c r="F52" s="63"/>
      <c r="G52" s="63"/>
      <c r="H52" s="66"/>
      <c r="I52" s="359"/>
      <c r="J52" s="359"/>
      <c r="K52" s="359"/>
      <c r="L52" s="359"/>
      <c r="M52" s="359"/>
      <c r="N52" s="63"/>
      <c r="O52" s="63"/>
      <c r="P52" s="63"/>
      <c r="Q52" s="63"/>
      <c r="R52" s="66"/>
      <c r="S52" s="325"/>
      <c r="T52" s="189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M52" s="202"/>
    </row>
    <row r="53" spans="1:47" s="27" customFormat="1" ht="27.75" customHeight="1" x14ac:dyDescent="0.25">
      <c r="A53" s="131"/>
      <c r="B53" s="132" t="s">
        <v>0</v>
      </c>
      <c r="C53" s="489" t="str">
        <f>C19</f>
        <v>Lindholm Tobias</v>
      </c>
      <c r="D53" s="489"/>
      <c r="E53" s="489"/>
      <c r="F53" s="489"/>
      <c r="G53" s="489"/>
      <c r="H53" s="159">
        <f>IF(OR(H54="L",C53=0),0,1)</f>
        <v>1</v>
      </c>
      <c r="I53" s="142"/>
      <c r="J53" s="133"/>
      <c r="K53" s="134" t="s">
        <v>0</v>
      </c>
      <c r="L53" s="497" t="str">
        <f>J19</f>
        <v>Partanen Jarkko</v>
      </c>
      <c r="M53" s="497"/>
      <c r="N53" s="497"/>
      <c r="O53" s="497"/>
      <c r="P53" s="497"/>
      <c r="Q53" s="498"/>
      <c r="R53" s="321"/>
      <c r="S53" s="163">
        <f>IF(OR(I54="L",L53=0),0,1)</f>
        <v>1</v>
      </c>
      <c r="T53" s="35"/>
      <c r="U53" s="60"/>
      <c r="V53" s="60"/>
      <c r="W53" s="61"/>
      <c r="X53" s="61"/>
      <c r="Y53" s="61"/>
      <c r="Z53" s="61"/>
      <c r="AA53" s="61"/>
      <c r="AB53" s="61"/>
      <c r="AC53" s="61"/>
      <c r="AD53" s="61"/>
      <c r="AH53" s="61"/>
      <c r="AI53" s="61"/>
      <c r="AJ53" s="61"/>
      <c r="AK53" s="61"/>
      <c r="AL53" s="61"/>
      <c r="AM53" s="202"/>
      <c r="AN53" s="61"/>
      <c r="AO53" s="61"/>
      <c r="AP53" s="61"/>
      <c r="AQ53" s="61"/>
      <c r="AR53" s="61"/>
      <c r="AS53" s="61"/>
      <c r="AT53" s="61"/>
      <c r="AU53" s="61"/>
    </row>
    <row r="54" spans="1:47" s="27" customFormat="1" x14ac:dyDescent="0.2">
      <c r="B54" s="35"/>
      <c r="C54" s="35"/>
      <c r="D54" s="35"/>
      <c r="E54" s="35"/>
      <c r="F54" s="35"/>
      <c r="G54" s="35"/>
      <c r="H54" s="170"/>
      <c r="I54" s="510"/>
      <c r="J54" s="511"/>
      <c r="K54" s="76"/>
      <c r="L54" s="76"/>
      <c r="M54" s="76"/>
      <c r="N54" s="35"/>
      <c r="O54" s="35"/>
      <c r="P54" s="35"/>
      <c r="Q54" s="361"/>
      <c r="R54" s="189"/>
      <c r="S54" s="163"/>
      <c r="T54" s="35"/>
      <c r="U54" s="60"/>
      <c r="V54" s="60"/>
      <c r="W54" s="61"/>
      <c r="X54" s="61"/>
      <c r="Y54" s="61"/>
      <c r="Z54" s="61"/>
      <c r="AA54" s="61"/>
      <c r="AB54" s="61"/>
      <c r="AC54" s="61"/>
      <c r="AD54" s="61"/>
      <c r="AH54" s="61"/>
      <c r="AI54" s="61"/>
      <c r="AJ54" s="61"/>
      <c r="AK54" s="61"/>
      <c r="AL54" s="61"/>
      <c r="AM54" s="202"/>
      <c r="AN54" s="61"/>
      <c r="AO54" s="61"/>
      <c r="AP54" s="61"/>
      <c r="AQ54" s="61"/>
      <c r="AR54" s="61"/>
      <c r="AS54" s="61"/>
      <c r="AT54" s="61"/>
      <c r="AU54" s="61"/>
    </row>
    <row r="55" spans="1:47" s="27" customFormat="1" ht="23.25" customHeight="1" x14ac:dyDescent="0.2">
      <c r="A55" s="135"/>
      <c r="B55" s="147" t="s">
        <v>1</v>
      </c>
      <c r="C55" s="72" t="s">
        <v>13</v>
      </c>
      <c r="D55" s="72" t="s">
        <v>14</v>
      </c>
      <c r="E55" s="130" t="s">
        <v>5</v>
      </c>
      <c r="F55" s="72" t="s">
        <v>15</v>
      </c>
      <c r="G55" s="72" t="s">
        <v>16</v>
      </c>
      <c r="H55" s="72"/>
      <c r="I55" s="144"/>
      <c r="J55" s="73"/>
      <c r="K55" s="147" t="s">
        <v>1</v>
      </c>
      <c r="L55" s="72" t="s">
        <v>13</v>
      </c>
      <c r="M55" s="72" t="s">
        <v>14</v>
      </c>
      <c r="N55" s="130" t="s">
        <v>5</v>
      </c>
      <c r="O55" s="318" t="s">
        <v>15</v>
      </c>
      <c r="P55" s="319" t="s">
        <v>16</v>
      </c>
      <c r="Q55" s="362"/>
      <c r="R55" s="363"/>
      <c r="S55" s="163"/>
      <c r="T55" s="35"/>
      <c r="U55" s="60"/>
      <c r="V55" s="60"/>
      <c r="W55" s="61"/>
      <c r="X55" s="61"/>
      <c r="Y55" s="61"/>
      <c r="Z55" s="61"/>
      <c r="AA55" s="61"/>
      <c r="AB55" s="61"/>
      <c r="AC55" s="61"/>
      <c r="AD55" s="61"/>
      <c r="AH55" s="61"/>
      <c r="AI55" s="61"/>
      <c r="AJ55" s="61"/>
      <c r="AK55" s="61"/>
      <c r="AL55" s="61"/>
      <c r="AM55" s="202"/>
      <c r="AN55" s="61"/>
      <c r="AO55" s="61"/>
      <c r="AP55" s="61"/>
      <c r="AQ55" s="61"/>
      <c r="AR55" s="61"/>
      <c r="AS55" s="61"/>
      <c r="AT55" s="61"/>
      <c r="AU55" s="61"/>
    </row>
    <row r="56" spans="1:47" s="27" customFormat="1" ht="31.5" customHeight="1" x14ac:dyDescent="0.2">
      <c r="A56" s="135"/>
      <c r="B56" s="146">
        <v>1</v>
      </c>
      <c r="C56" s="74">
        <v>37</v>
      </c>
      <c r="D56" s="79"/>
      <c r="E56" s="77">
        <f>IF(C56=0," ",IF(C56=0,0,501-D56))</f>
        <v>501</v>
      </c>
      <c r="F56" s="74">
        <v>1</v>
      </c>
      <c r="G56" s="74"/>
      <c r="H56" s="77">
        <f>IF(AND(H53=1,S53=0),1,IF(COUNT(C56:C60)&gt;2,IF(COUNT(D56:D60)=3,0,1),0))</f>
        <v>1</v>
      </c>
      <c r="I56" s="182"/>
      <c r="J56" s="76"/>
      <c r="K56" s="146">
        <v>1</v>
      </c>
      <c r="L56" s="74">
        <v>36</v>
      </c>
      <c r="M56" s="79">
        <v>49</v>
      </c>
      <c r="N56" s="77">
        <f>IF(L56=0," ",IF(L56=0,0,501-M56))</f>
        <v>452</v>
      </c>
      <c r="O56" s="74"/>
      <c r="P56" s="428"/>
      <c r="Q56" s="364"/>
      <c r="R56" s="365"/>
      <c r="S56" s="163"/>
      <c r="T56" s="35"/>
      <c r="U56" s="77">
        <f>IF(AND(S53=1,H53=0),1,IF(COUNT(L56:L60)&gt;2,IF(COUNT(M56:M60)=3,0,1),0))</f>
        <v>0</v>
      </c>
      <c r="V56" s="200" t="str">
        <f>IF(AND(E56=501,N56=501),"TARKISTA JÄI-SARAKE"," ")</f>
        <v xml:space="preserve"> </v>
      </c>
      <c r="W56" s="202"/>
      <c r="X56" s="202"/>
      <c r="Y56" s="202"/>
      <c r="Z56" s="202"/>
      <c r="AA56" s="202"/>
      <c r="AB56" s="201" t="str">
        <f>IF(AND(C56=0,L56&gt;0),"toinen TIKAT-sarake tyhjä !",IF(AND(C56&gt;0,L56=0),"toinen TIKAT-sarake tyhjä !",""))</f>
        <v/>
      </c>
      <c r="AC56" s="202"/>
      <c r="AD56" s="202"/>
      <c r="AE56" s="202"/>
      <c r="AF56" s="202"/>
      <c r="AG56" s="202"/>
      <c r="AH56" s="202"/>
      <c r="AI56" s="202"/>
      <c r="AJ56" s="61"/>
      <c r="AK56" s="61"/>
      <c r="AL56" s="61"/>
      <c r="AM56" s="202"/>
      <c r="AN56" s="61"/>
      <c r="AO56" s="61"/>
      <c r="AP56" s="61"/>
      <c r="AQ56" s="61"/>
      <c r="AR56" s="61"/>
      <c r="AS56" s="61"/>
      <c r="AT56" s="61"/>
      <c r="AU56" s="61"/>
    </row>
    <row r="57" spans="1:47" s="27" customFormat="1" ht="31.5" customHeight="1" x14ac:dyDescent="0.25">
      <c r="A57" s="508" t="s">
        <v>17</v>
      </c>
      <c r="B57" s="146">
        <v>2</v>
      </c>
      <c r="C57" s="74">
        <v>23</v>
      </c>
      <c r="D57" s="79"/>
      <c r="E57" s="77">
        <f>IF(C57=0," ",IF(C57=0,0,501-D57))</f>
        <v>501</v>
      </c>
      <c r="F57" s="74">
        <v>1</v>
      </c>
      <c r="G57" s="74"/>
      <c r="H57" s="78"/>
      <c r="I57" s="182"/>
      <c r="J57" s="76"/>
      <c r="K57" s="146">
        <v>2</v>
      </c>
      <c r="L57" s="74">
        <v>24</v>
      </c>
      <c r="M57" s="79">
        <v>185</v>
      </c>
      <c r="N57" s="77">
        <f>IF(L57=0," ",IF(L57=0,0,501-M57))</f>
        <v>316</v>
      </c>
      <c r="O57" s="74"/>
      <c r="P57" s="428"/>
      <c r="Q57" s="364"/>
      <c r="R57" s="365"/>
      <c r="S57" s="163"/>
      <c r="T57" s="35"/>
      <c r="U57" s="60"/>
      <c r="V57" s="200" t="str">
        <f>IF(AND(E57=501,N57=501),"TARKISTA JÄI-SARAKE"," ")</f>
        <v xml:space="preserve"> </v>
      </c>
      <c r="W57" s="198"/>
      <c r="X57" s="65"/>
      <c r="Y57" s="61"/>
      <c r="Z57" s="61"/>
      <c r="AA57" s="61"/>
      <c r="AB57" s="201" t="str">
        <f>IF(AND(C57=0,L57&gt;0),"toinen TIKAT-sarake tyhjä !",IF(AND(C57&gt;0,L57=0),"toinen TIKAT-sarake tyhjä !",""))</f>
        <v/>
      </c>
      <c r="AC57" s="61"/>
      <c r="AD57" s="61"/>
      <c r="AH57" s="61"/>
      <c r="AI57" s="61"/>
      <c r="AJ57" s="61"/>
      <c r="AK57" s="61"/>
      <c r="AL57" s="61"/>
      <c r="AM57" s="202"/>
      <c r="AN57" s="61"/>
      <c r="AO57" s="61"/>
      <c r="AP57" s="61"/>
      <c r="AQ57" s="61"/>
      <c r="AR57" s="61"/>
      <c r="AS57" s="61"/>
      <c r="AT57" s="61"/>
      <c r="AU57" s="61"/>
    </row>
    <row r="58" spans="1:47" s="27" customFormat="1" ht="31.5" customHeight="1" x14ac:dyDescent="0.25">
      <c r="A58" s="509"/>
      <c r="B58" s="146">
        <v>3</v>
      </c>
      <c r="C58" s="74">
        <v>30</v>
      </c>
      <c r="D58" s="79">
        <v>16</v>
      </c>
      <c r="E58" s="77">
        <f>IF(C58=0," ",IF(C58=0,0,501-D58))</f>
        <v>485</v>
      </c>
      <c r="F58" s="74"/>
      <c r="G58" s="74"/>
      <c r="H58" s="78"/>
      <c r="I58" s="182"/>
      <c r="J58" s="76"/>
      <c r="K58" s="146">
        <v>3</v>
      </c>
      <c r="L58" s="74">
        <v>29</v>
      </c>
      <c r="M58" s="79"/>
      <c r="N58" s="77">
        <f>IF(L58=0," ",IF(L58=0,0,501-M58))</f>
        <v>501</v>
      </c>
      <c r="O58" s="74">
        <v>1</v>
      </c>
      <c r="P58" s="428"/>
      <c r="Q58" s="364"/>
      <c r="R58" s="365"/>
      <c r="S58" s="163"/>
      <c r="T58" s="35"/>
      <c r="U58" s="60"/>
      <c r="V58" s="200" t="str">
        <f>IF(AND(E58=501,N58=501),"TARKISTA JÄI-SARAKE"," ")</f>
        <v xml:space="preserve"> </v>
      </c>
      <c r="W58" s="198"/>
      <c r="X58" s="65"/>
      <c r="Y58" s="61"/>
      <c r="Z58" s="61"/>
      <c r="AA58" s="61"/>
      <c r="AB58" s="201" t="str">
        <f>IF(AND(C58=0,L58&gt;0),"toinen TIKAT-sarake tyhjä !",IF(AND(C58&gt;0,L58=0),"toinen TIKAT-sarake tyhjä !",""))</f>
        <v/>
      </c>
      <c r="AC58" s="61"/>
      <c r="AD58" s="61"/>
      <c r="AH58" s="61"/>
      <c r="AI58" s="61"/>
      <c r="AJ58" s="61"/>
      <c r="AK58" s="61"/>
      <c r="AL58" s="61"/>
      <c r="AM58" s="202"/>
      <c r="AN58" s="61"/>
      <c r="AO58" s="61"/>
      <c r="AP58" s="61"/>
      <c r="AQ58" s="61"/>
      <c r="AR58" s="61"/>
      <c r="AS58" s="61"/>
      <c r="AT58" s="61"/>
      <c r="AU58" s="61"/>
    </row>
    <row r="59" spans="1:47" s="27" customFormat="1" ht="31.5" customHeight="1" x14ac:dyDescent="0.25">
      <c r="A59" s="509"/>
      <c r="B59" s="146">
        <v>4</v>
      </c>
      <c r="C59" s="74">
        <v>30</v>
      </c>
      <c r="D59" s="79"/>
      <c r="E59" s="77">
        <f>IF(C59=0," ",IF(C59=0,0,501-D59))</f>
        <v>501</v>
      </c>
      <c r="F59" s="74">
        <v>1</v>
      </c>
      <c r="G59" s="74"/>
      <c r="H59" s="78"/>
      <c r="I59" s="182"/>
      <c r="J59" s="76"/>
      <c r="K59" s="146">
        <v>4</v>
      </c>
      <c r="L59" s="74">
        <v>30</v>
      </c>
      <c r="M59" s="79">
        <v>106</v>
      </c>
      <c r="N59" s="77">
        <f>IF(L59=0," ",IF(L59=0,0,501-M59))</f>
        <v>395</v>
      </c>
      <c r="O59" s="74">
        <v>1</v>
      </c>
      <c r="P59" s="428"/>
      <c r="Q59" s="364"/>
      <c r="R59" s="365"/>
      <c r="S59" s="163"/>
      <c r="T59" s="35"/>
      <c r="U59" s="60"/>
      <c r="V59" s="200" t="str">
        <f>IF(AND(E59=501,N59=501),"TARKISTA JÄI-SARAKE"," ")</f>
        <v xml:space="preserve"> </v>
      </c>
      <c r="W59" s="198"/>
      <c r="X59" s="65"/>
      <c r="Y59" s="61"/>
      <c r="Z59" s="61"/>
      <c r="AA59" s="61"/>
      <c r="AB59" s="201" t="str">
        <f>IF(AND(C59=0,L59&gt;0),"toinen TIKAT-sarake tyhjä !",IF(AND(C59&gt;0,L59=0),"toinen TIKAT-sarake tyhjä !",""))</f>
        <v/>
      </c>
      <c r="AC59" s="61"/>
      <c r="AD59" s="61"/>
      <c r="AH59" s="61"/>
      <c r="AI59" s="61"/>
      <c r="AJ59" s="61"/>
      <c r="AK59" s="61"/>
      <c r="AL59" s="61"/>
      <c r="AM59" s="202"/>
      <c r="AN59" s="61"/>
      <c r="AO59" s="61"/>
      <c r="AP59" s="61"/>
      <c r="AQ59" s="61"/>
      <c r="AR59" s="61"/>
      <c r="AS59" s="61"/>
      <c r="AT59" s="61"/>
      <c r="AU59" s="61"/>
    </row>
    <row r="60" spans="1:47" s="27" customFormat="1" ht="31.5" customHeight="1" x14ac:dyDescent="0.25">
      <c r="A60" s="135"/>
      <c r="B60" s="146">
        <v>5</v>
      </c>
      <c r="C60" s="74"/>
      <c r="D60" s="79"/>
      <c r="E60" s="77" t="str">
        <f>IF(C60=0," ",IF(C60=0,0,501-D60))</f>
        <v xml:space="preserve"> </v>
      </c>
      <c r="F60" s="74"/>
      <c r="G60" s="74"/>
      <c r="H60" s="78"/>
      <c r="I60" s="182"/>
      <c r="J60" s="76"/>
      <c r="K60" s="146">
        <v>5</v>
      </c>
      <c r="L60" s="74"/>
      <c r="M60" s="79"/>
      <c r="N60" s="77" t="str">
        <f>IF(L60=0," ",IF(L60=0,0,501-M60))</f>
        <v xml:space="preserve"> </v>
      </c>
      <c r="O60" s="74"/>
      <c r="P60" s="428"/>
      <c r="Q60" s="364"/>
      <c r="R60" s="365"/>
      <c r="S60" s="163"/>
      <c r="T60" s="35"/>
      <c r="U60" s="60"/>
      <c r="V60" s="200" t="str">
        <f>IF(AND(E60=501,N60=501),"TARKISTA JÄI-SARAKE"," ")</f>
        <v xml:space="preserve"> </v>
      </c>
      <c r="W60" s="198"/>
      <c r="X60" s="65"/>
      <c r="Y60" s="61"/>
      <c r="Z60" s="61"/>
      <c r="AA60" s="61"/>
      <c r="AB60" s="201" t="str">
        <f>IF(AND(C60=0,L60&gt;0),"toinen TIKAT-sarake tyhjä !",IF(AND(C60&gt;0,L60=0),"toinen TIKAT-sarake tyhjä !",""))</f>
        <v/>
      </c>
      <c r="AC60" s="61"/>
      <c r="AD60" s="61"/>
      <c r="AH60" s="61"/>
      <c r="AI60" s="61"/>
      <c r="AJ60" s="61"/>
      <c r="AK60" s="61"/>
      <c r="AL60" s="61"/>
      <c r="AM60" s="202"/>
      <c r="AN60" s="61"/>
      <c r="AO60" s="61"/>
      <c r="AP60" s="61"/>
      <c r="AQ60" s="61"/>
      <c r="AR60" s="61"/>
      <c r="AS60" s="61"/>
      <c r="AT60" s="61"/>
      <c r="AU60" s="61"/>
    </row>
    <row r="61" spans="1:47" s="27" customFormat="1" ht="23.25" customHeight="1" thickBot="1" x14ac:dyDescent="0.25">
      <c r="A61" s="369" t="s">
        <v>17</v>
      </c>
      <c r="B61" s="370"/>
      <c r="C61" s="371">
        <f>COUNTIF(C56:C60,"&gt;0")</f>
        <v>4</v>
      </c>
      <c r="D61" s="154">
        <f>COUNTIF(D56:D60,"&gt;0")</f>
        <v>1</v>
      </c>
      <c r="E61" s="139"/>
      <c r="F61" s="139"/>
      <c r="G61" s="139"/>
      <c r="H61" s="139"/>
      <c r="I61" s="150"/>
      <c r="J61" s="151"/>
      <c r="K61" s="151"/>
      <c r="L61" s="154">
        <f>COUNTIF(L56:L60,"&gt;0")</f>
        <v>4</v>
      </c>
      <c r="M61" s="154">
        <f>COUNTIF(M56:M60,"&gt;0")</f>
        <v>3</v>
      </c>
      <c r="N61" s="139"/>
      <c r="O61" s="139"/>
      <c r="P61" s="139"/>
      <c r="Q61" s="366"/>
      <c r="R61" s="189"/>
      <c r="S61" s="163"/>
      <c r="T61" s="35"/>
      <c r="U61" s="60"/>
      <c r="V61" s="203"/>
      <c r="W61" s="61"/>
      <c r="X61" s="61"/>
      <c r="Y61" s="61"/>
      <c r="Z61" s="61"/>
      <c r="AA61" s="61"/>
      <c r="AB61" s="202"/>
      <c r="AC61" s="61"/>
      <c r="AD61" s="61"/>
      <c r="AH61" s="61"/>
      <c r="AI61" s="61"/>
      <c r="AJ61" s="61"/>
      <c r="AK61" s="61"/>
      <c r="AL61" s="61"/>
      <c r="AM61" s="202"/>
      <c r="AN61" s="61"/>
      <c r="AO61" s="61"/>
      <c r="AP61" s="61"/>
      <c r="AQ61" s="61"/>
      <c r="AR61" s="61"/>
      <c r="AS61" s="61"/>
      <c r="AT61" s="61"/>
      <c r="AU61" s="61"/>
    </row>
    <row r="62" spans="1:47" s="61" customFormat="1" ht="36.75" customHeight="1" thickBot="1" x14ac:dyDescent="0.25">
      <c r="A62" s="60"/>
      <c r="H62" s="27"/>
      <c r="I62" s="68"/>
      <c r="J62" s="68"/>
      <c r="K62" s="68"/>
      <c r="L62" s="68"/>
      <c r="M62" s="68"/>
      <c r="Q62" s="63"/>
      <c r="R62" s="66"/>
      <c r="S62" s="163"/>
      <c r="T62" s="35"/>
      <c r="V62" s="202"/>
      <c r="AB62" s="202"/>
      <c r="AM62" s="202"/>
    </row>
    <row r="63" spans="1:47" s="27" customFormat="1" ht="27.75" customHeight="1" x14ac:dyDescent="0.25">
      <c r="A63" s="131"/>
      <c r="B63" s="132" t="s">
        <v>0</v>
      </c>
      <c r="C63" s="489" t="str">
        <f>C20</f>
        <v>Holmström Bjarne</v>
      </c>
      <c r="D63" s="489"/>
      <c r="E63" s="489"/>
      <c r="F63" s="489"/>
      <c r="G63" s="489"/>
      <c r="H63" s="159">
        <f>IF(OR(H64="L",C63=0),0,1)</f>
        <v>1</v>
      </c>
      <c r="I63" s="142"/>
      <c r="J63" s="133"/>
      <c r="K63" s="134" t="s">
        <v>0</v>
      </c>
      <c r="L63" s="497" t="str">
        <f>J20</f>
        <v>Nevalainen Ari</v>
      </c>
      <c r="M63" s="497"/>
      <c r="N63" s="497"/>
      <c r="O63" s="497"/>
      <c r="P63" s="497"/>
      <c r="Q63" s="498"/>
      <c r="R63" s="60"/>
      <c r="S63" s="163">
        <f>IF(OR(I64="L",L63=0),0,1)</f>
        <v>1</v>
      </c>
      <c r="U63" s="61"/>
      <c r="V63" s="202"/>
      <c r="W63" s="61"/>
      <c r="X63" s="61"/>
      <c r="Y63" s="61"/>
      <c r="Z63" s="61"/>
      <c r="AA63" s="61"/>
      <c r="AB63" s="202"/>
      <c r="AC63" s="61"/>
      <c r="AD63" s="61"/>
      <c r="AH63" s="61"/>
      <c r="AI63" s="61"/>
      <c r="AJ63" s="61"/>
      <c r="AK63" s="61"/>
      <c r="AL63" s="61"/>
      <c r="AM63" s="202"/>
      <c r="AN63" s="61"/>
      <c r="AO63" s="61"/>
      <c r="AP63" s="61"/>
      <c r="AQ63" s="61"/>
      <c r="AR63" s="61"/>
      <c r="AS63" s="61"/>
      <c r="AT63" s="61"/>
      <c r="AU63" s="61"/>
    </row>
    <row r="64" spans="1:47" s="27" customFormat="1" x14ac:dyDescent="0.2">
      <c r="A64" s="135"/>
      <c r="B64" s="35"/>
      <c r="C64" s="35"/>
      <c r="D64" s="35"/>
      <c r="E64" s="35"/>
      <c r="F64" s="35"/>
      <c r="G64" s="35"/>
      <c r="H64" s="170"/>
      <c r="I64" s="510"/>
      <c r="J64" s="511"/>
      <c r="K64" s="76"/>
      <c r="L64" s="76"/>
      <c r="M64" s="76"/>
      <c r="N64" s="35"/>
      <c r="O64" s="35"/>
      <c r="P64" s="35"/>
      <c r="Q64" s="367"/>
      <c r="R64" s="189"/>
      <c r="S64" s="163"/>
      <c r="U64" s="61"/>
      <c r="V64" s="202"/>
      <c r="W64" s="61"/>
      <c r="X64" s="61"/>
      <c r="Y64" s="61"/>
      <c r="Z64" s="61"/>
      <c r="AA64" s="61"/>
      <c r="AB64" s="202"/>
      <c r="AC64" s="61"/>
      <c r="AD64" s="61"/>
      <c r="AH64" s="61"/>
      <c r="AI64" s="61"/>
      <c r="AJ64" s="61"/>
      <c r="AK64" s="61"/>
      <c r="AL64" s="61"/>
      <c r="AM64" s="202"/>
      <c r="AN64" s="61"/>
      <c r="AO64" s="61"/>
      <c r="AP64" s="61"/>
      <c r="AQ64" s="61"/>
      <c r="AR64" s="61"/>
      <c r="AS64" s="61"/>
      <c r="AT64" s="61"/>
      <c r="AU64" s="61"/>
    </row>
    <row r="65" spans="1:47" s="27" customFormat="1" ht="23.25" customHeight="1" x14ac:dyDescent="0.2">
      <c r="A65" s="135"/>
      <c r="B65" s="147" t="s">
        <v>1</v>
      </c>
      <c r="C65" s="72" t="s">
        <v>13</v>
      </c>
      <c r="D65" s="72" t="s">
        <v>14</v>
      </c>
      <c r="E65" s="130" t="s">
        <v>5</v>
      </c>
      <c r="F65" s="72" t="s">
        <v>15</v>
      </c>
      <c r="G65" s="72" t="s">
        <v>16</v>
      </c>
      <c r="H65" s="72"/>
      <c r="I65" s="144"/>
      <c r="J65" s="73"/>
      <c r="K65" s="147" t="s">
        <v>1</v>
      </c>
      <c r="L65" s="72" t="s">
        <v>13</v>
      </c>
      <c r="M65" s="72" t="s">
        <v>14</v>
      </c>
      <c r="N65" s="130" t="s">
        <v>5</v>
      </c>
      <c r="O65" s="318" t="s">
        <v>15</v>
      </c>
      <c r="P65" s="319" t="s">
        <v>16</v>
      </c>
      <c r="Q65" s="362"/>
      <c r="R65" s="363"/>
      <c r="S65" s="163"/>
      <c r="U65" s="61"/>
      <c r="V65" s="202"/>
      <c r="W65" s="61"/>
      <c r="X65" s="61"/>
      <c r="Y65" s="61"/>
      <c r="Z65" s="61"/>
      <c r="AA65" s="61"/>
      <c r="AB65" s="202"/>
      <c r="AC65" s="61"/>
      <c r="AD65" s="61"/>
      <c r="AH65" s="61"/>
      <c r="AI65" s="61"/>
      <c r="AJ65" s="61"/>
      <c r="AK65" s="61"/>
      <c r="AL65" s="61"/>
      <c r="AM65" s="202"/>
      <c r="AN65" s="61"/>
      <c r="AO65" s="61"/>
      <c r="AP65" s="61"/>
      <c r="AQ65" s="61"/>
      <c r="AR65" s="61"/>
      <c r="AS65" s="61"/>
      <c r="AT65" s="61"/>
      <c r="AU65" s="61"/>
    </row>
    <row r="66" spans="1:47" s="27" customFormat="1" ht="30.75" customHeight="1" x14ac:dyDescent="0.2">
      <c r="A66" s="135"/>
      <c r="B66" s="146">
        <v>1</v>
      </c>
      <c r="C66" s="74">
        <v>30</v>
      </c>
      <c r="D66" s="79">
        <v>12</v>
      </c>
      <c r="E66" s="77">
        <f>IF(C66=0,"",IF(C66=0,0,501-D66))</f>
        <v>489</v>
      </c>
      <c r="F66" s="74"/>
      <c r="G66" s="74"/>
      <c r="H66" s="77">
        <f>IF(AND(H63=1,S63=0),1,IF(COUNT(C66:C70)&gt;2,IF(COUNT(D66:D70)=3,0,1),0))</f>
        <v>0</v>
      </c>
      <c r="I66" s="182"/>
      <c r="J66" s="76"/>
      <c r="K66" s="146">
        <v>1</v>
      </c>
      <c r="L66" s="74">
        <v>23</v>
      </c>
      <c r="M66" s="79"/>
      <c r="N66" s="77">
        <f>IF(L66=0," ",IF(L66=0,0,501-M66))</f>
        <v>501</v>
      </c>
      <c r="O66" s="74">
        <v>2</v>
      </c>
      <c r="P66" s="428"/>
      <c r="Q66" s="364"/>
      <c r="R66" s="365"/>
      <c r="S66" s="163"/>
      <c r="U66" s="75">
        <f>IF(AND(S63=1,H63=0),1,IF(COUNT(L66:L70)&gt;2,IF(COUNT(M66:M70)=3,0,1),0))</f>
        <v>1</v>
      </c>
      <c r="V66" s="200" t="str">
        <f>IF(AND(E66=501,N66=501),"TARKISTA JÄI-SARAKE"," ")</f>
        <v xml:space="preserve"> </v>
      </c>
      <c r="W66" s="202"/>
      <c r="X66" s="202"/>
      <c r="Y66" s="202"/>
      <c r="Z66" s="202"/>
      <c r="AA66" s="202"/>
      <c r="AB66" s="201" t="str">
        <f>IF(AND(C66=0,L66&gt;0),"toinen TIKAT-sarake tyhjä !",IF(AND(C66&gt;0,L66=0),"toinen TIKAT-sarake tyhjä !",""))</f>
        <v/>
      </c>
      <c r="AC66" s="202"/>
      <c r="AD66" s="202"/>
      <c r="AE66" s="202"/>
      <c r="AF66" s="202"/>
      <c r="AG66" s="202"/>
      <c r="AH66" s="202"/>
      <c r="AI66" s="202"/>
      <c r="AJ66" s="61"/>
      <c r="AK66" s="61"/>
      <c r="AL66" s="61"/>
      <c r="AM66" s="202"/>
      <c r="AN66" s="61"/>
      <c r="AO66" s="61"/>
      <c r="AP66" s="61"/>
      <c r="AQ66" s="61"/>
      <c r="AR66" s="61"/>
      <c r="AS66" s="61"/>
      <c r="AT66" s="61"/>
      <c r="AU66" s="61"/>
    </row>
    <row r="67" spans="1:47" s="27" customFormat="1" ht="30.75" customHeight="1" x14ac:dyDescent="0.25">
      <c r="A67" s="508" t="s">
        <v>18</v>
      </c>
      <c r="B67" s="146">
        <v>2</v>
      </c>
      <c r="C67" s="74">
        <v>18</v>
      </c>
      <c r="D67" s="79">
        <v>207</v>
      </c>
      <c r="E67" s="77">
        <f>IF(C67=0," ",IF(C67=0,0,501-D67))</f>
        <v>294</v>
      </c>
      <c r="F67" s="74"/>
      <c r="G67" s="74"/>
      <c r="H67" s="35"/>
      <c r="I67" s="182"/>
      <c r="J67" s="76"/>
      <c r="K67" s="146">
        <v>2</v>
      </c>
      <c r="L67" s="74">
        <v>18</v>
      </c>
      <c r="M67" s="79"/>
      <c r="N67" s="77">
        <f>IF(L67=0," ",IF(L67=0,0,501-M67))</f>
        <v>501</v>
      </c>
      <c r="O67" s="74">
        <v>3</v>
      </c>
      <c r="P67" s="428"/>
      <c r="Q67" s="364"/>
      <c r="R67" s="365"/>
      <c r="S67" s="163"/>
      <c r="U67" s="61"/>
      <c r="V67" s="200" t="str">
        <f>IF(AND(E67=501,N67=501),"TARKISTA JÄI-SARAKE"," ")</f>
        <v xml:space="preserve"> </v>
      </c>
      <c r="W67" s="198"/>
      <c r="X67" s="65"/>
      <c r="Y67" s="61"/>
      <c r="Z67" s="61"/>
      <c r="AA67" s="61"/>
      <c r="AB67" s="201" t="str">
        <f>IF(AND(C67=0,L67&gt;0),"toinen TIKAT-sarake tyhjä !",IF(AND(C67&gt;0,L67=0),"toinen TIKAT-sarake tyhjä !",""))</f>
        <v/>
      </c>
      <c r="AC67" s="61"/>
      <c r="AD67" s="61"/>
      <c r="AH67" s="61"/>
      <c r="AI67" s="61"/>
      <c r="AJ67" s="61"/>
      <c r="AK67" s="61"/>
      <c r="AL67" s="61"/>
      <c r="AM67" s="202"/>
      <c r="AN67" s="61"/>
      <c r="AO67" s="61"/>
      <c r="AP67" s="61"/>
      <c r="AQ67" s="61"/>
      <c r="AR67" s="61"/>
      <c r="AS67" s="61"/>
      <c r="AT67" s="61"/>
      <c r="AU67" s="61"/>
    </row>
    <row r="68" spans="1:47" s="27" customFormat="1" ht="30.75" customHeight="1" x14ac:dyDescent="0.25">
      <c r="A68" s="509"/>
      <c r="B68" s="146">
        <v>3</v>
      </c>
      <c r="C68" s="74">
        <v>24</v>
      </c>
      <c r="D68" s="79">
        <v>8</v>
      </c>
      <c r="E68" s="77">
        <f>IF(C68=0," ",IF(C68=0,0,501-D68))</f>
        <v>493</v>
      </c>
      <c r="F68" s="74">
        <v>1</v>
      </c>
      <c r="G68" s="74"/>
      <c r="H68" s="35"/>
      <c r="I68" s="182"/>
      <c r="J68" s="76"/>
      <c r="K68" s="146">
        <v>3</v>
      </c>
      <c r="L68" s="74">
        <v>26</v>
      </c>
      <c r="M68" s="79"/>
      <c r="N68" s="77">
        <f>IF(L68=0," ",IF(L68=0,0,501-M68))</f>
        <v>501</v>
      </c>
      <c r="O68" s="74">
        <v>2</v>
      </c>
      <c r="P68" s="428"/>
      <c r="Q68" s="364"/>
      <c r="R68" s="365"/>
      <c r="S68" s="163"/>
      <c r="U68" s="61"/>
      <c r="V68" s="200" t="str">
        <f>IF(AND(E68=501,N68=501),"TARKISTA JÄI-SARAKE"," ")</f>
        <v xml:space="preserve"> </v>
      </c>
      <c r="W68" s="198"/>
      <c r="X68" s="65"/>
      <c r="Y68" s="61"/>
      <c r="Z68" s="61"/>
      <c r="AA68" s="61"/>
      <c r="AB68" s="201" t="str">
        <f>IF(AND(C68=0,L68&gt;0),"toinen TIKAT-sarake tyhjä !",IF(AND(C68&gt;0,L68=0),"toinen TIKAT-sarake tyhjä !",""))</f>
        <v/>
      </c>
      <c r="AC68" s="61"/>
      <c r="AD68" s="61"/>
      <c r="AH68" s="61"/>
      <c r="AI68" s="61"/>
      <c r="AJ68" s="61"/>
      <c r="AK68" s="61"/>
      <c r="AL68" s="61"/>
      <c r="AM68" s="202"/>
      <c r="AN68" s="61"/>
      <c r="AO68" s="61"/>
      <c r="AP68" s="61"/>
      <c r="AQ68" s="61"/>
      <c r="AR68" s="61"/>
      <c r="AS68" s="61"/>
      <c r="AT68" s="61"/>
      <c r="AU68" s="61"/>
    </row>
    <row r="69" spans="1:47" s="27" customFormat="1" ht="30.75" customHeight="1" x14ac:dyDescent="0.25">
      <c r="A69" s="509"/>
      <c r="B69" s="146">
        <v>4</v>
      </c>
      <c r="C69" s="74"/>
      <c r="D69" s="79"/>
      <c r="E69" s="77" t="str">
        <f>IF(C69=0," ",IF(C69=0,0,501-D69))</f>
        <v xml:space="preserve"> </v>
      </c>
      <c r="F69" s="74"/>
      <c r="G69" s="74"/>
      <c r="H69" s="35"/>
      <c r="I69" s="182"/>
      <c r="J69" s="76"/>
      <c r="K69" s="146">
        <v>4</v>
      </c>
      <c r="L69" s="74"/>
      <c r="M69" s="79"/>
      <c r="N69" s="77" t="str">
        <f>IF(L69=0," ",IF(L69=0,0,501-M69))</f>
        <v xml:space="preserve"> </v>
      </c>
      <c r="O69" s="74"/>
      <c r="P69" s="428"/>
      <c r="Q69" s="364"/>
      <c r="R69" s="365"/>
      <c r="S69" s="163"/>
      <c r="U69" s="61"/>
      <c r="V69" s="200" t="str">
        <f>IF(AND(E69=501,N69=501),"TARKISTA JÄI-SARAKE"," ")</f>
        <v xml:space="preserve"> </v>
      </c>
      <c r="W69" s="198"/>
      <c r="X69" s="65"/>
      <c r="Y69" s="61"/>
      <c r="Z69" s="61"/>
      <c r="AA69" s="61"/>
      <c r="AB69" s="201" t="str">
        <f>IF(AND(C69=0,L69&gt;0),"toinen TIKAT-sarake tyhjä !",IF(AND(C69&gt;0,L69=0),"toinen TIKAT-sarake tyhjä !",""))</f>
        <v/>
      </c>
      <c r="AC69" s="61"/>
      <c r="AD69" s="61"/>
      <c r="AH69" s="61"/>
      <c r="AI69" s="61"/>
      <c r="AJ69" s="61"/>
      <c r="AK69" s="61"/>
      <c r="AL69" s="61"/>
      <c r="AM69" s="202"/>
      <c r="AN69" s="61"/>
      <c r="AO69" s="61"/>
      <c r="AP69" s="61"/>
      <c r="AQ69" s="61"/>
      <c r="AR69" s="61"/>
      <c r="AS69" s="61"/>
      <c r="AT69" s="61"/>
      <c r="AU69" s="61"/>
    </row>
    <row r="70" spans="1:47" s="27" customFormat="1" ht="30.75" customHeight="1" x14ac:dyDescent="0.25">
      <c r="A70" s="135"/>
      <c r="B70" s="146">
        <v>5</v>
      </c>
      <c r="C70" s="74"/>
      <c r="D70" s="79"/>
      <c r="E70" s="77" t="str">
        <f>IF(C70=0," ",IF(C70=0,0,501-D70))</f>
        <v xml:space="preserve"> </v>
      </c>
      <c r="F70" s="74"/>
      <c r="G70" s="74"/>
      <c r="H70" s="35"/>
      <c r="I70" s="182"/>
      <c r="J70" s="76"/>
      <c r="K70" s="146">
        <v>5</v>
      </c>
      <c r="L70" s="74"/>
      <c r="M70" s="79"/>
      <c r="N70" s="77" t="str">
        <f>IF(L70=0," ",IF(L70=0,0,501-M70))</f>
        <v xml:space="preserve"> </v>
      </c>
      <c r="O70" s="74"/>
      <c r="P70" s="428"/>
      <c r="Q70" s="364"/>
      <c r="R70" s="365"/>
      <c r="S70" s="163"/>
      <c r="U70" s="61"/>
      <c r="V70" s="200" t="str">
        <f>IF(AND(E70=501,N70=501),"TARKISTA JÄI-SARAKE"," ")</f>
        <v xml:space="preserve"> </v>
      </c>
      <c r="W70" s="198"/>
      <c r="X70" s="65"/>
      <c r="Y70" s="61"/>
      <c r="Z70" s="61"/>
      <c r="AA70" s="61"/>
      <c r="AB70" s="201" t="str">
        <f>IF(AND(C70=0,L70&gt;0),"toinen TIKAT-sarake tyhjä !",IF(AND(C70&gt;0,L70=0),"toinen TIKAT-sarake tyhjä !",""))</f>
        <v/>
      </c>
      <c r="AC70" s="61"/>
      <c r="AD70" s="61"/>
      <c r="AH70" s="61"/>
      <c r="AI70" s="61"/>
      <c r="AJ70" s="61"/>
      <c r="AK70" s="61"/>
      <c r="AL70" s="61"/>
      <c r="AM70" s="202"/>
      <c r="AN70" s="61"/>
      <c r="AO70" s="61"/>
      <c r="AP70" s="61"/>
      <c r="AQ70" s="61"/>
      <c r="AR70" s="61"/>
      <c r="AS70" s="61"/>
      <c r="AT70" s="61"/>
      <c r="AU70" s="61"/>
    </row>
    <row r="71" spans="1:47" s="27" customFormat="1" ht="17.25" customHeight="1" thickBot="1" x14ac:dyDescent="0.25">
      <c r="A71" s="372"/>
      <c r="B71" s="369" t="s">
        <v>18</v>
      </c>
      <c r="C71" s="373">
        <f>COUNTIF(C66:C70,"&gt;0")</f>
        <v>3</v>
      </c>
      <c r="D71" s="154">
        <f>COUNTIF(D66:D70,"&gt;0")</f>
        <v>3</v>
      </c>
      <c r="E71" s="139"/>
      <c r="F71" s="139"/>
      <c r="G71" s="139"/>
      <c r="H71" s="139"/>
      <c r="I71" s="150"/>
      <c r="J71" s="151"/>
      <c r="K71" s="151"/>
      <c r="L71" s="154">
        <f>COUNTIF(L66:L70,"&gt;0")</f>
        <v>3</v>
      </c>
      <c r="M71" s="154">
        <f>COUNTIF(M66:M70,"&gt;0")</f>
        <v>0</v>
      </c>
      <c r="N71" s="139"/>
      <c r="O71" s="139"/>
      <c r="P71" s="139"/>
      <c r="Q71" s="366"/>
      <c r="R71" s="189"/>
      <c r="S71" s="163"/>
      <c r="U71" s="61"/>
      <c r="V71" s="202"/>
      <c r="W71" s="61"/>
      <c r="X71" s="61"/>
      <c r="Y71" s="61"/>
      <c r="Z71" s="61"/>
      <c r="AA71" s="61"/>
      <c r="AB71" s="202"/>
      <c r="AC71" s="61"/>
      <c r="AD71" s="61"/>
      <c r="AH71" s="61"/>
      <c r="AI71" s="61"/>
      <c r="AJ71" s="61"/>
      <c r="AK71" s="61"/>
      <c r="AL71" s="61"/>
      <c r="AM71" s="202"/>
      <c r="AN71" s="61"/>
      <c r="AO71" s="61"/>
      <c r="AP71" s="61"/>
      <c r="AQ71" s="61"/>
      <c r="AR71" s="61"/>
      <c r="AS71" s="61"/>
      <c r="AT71" s="61"/>
      <c r="AU71" s="61"/>
    </row>
    <row r="72" spans="1:47" s="61" customFormat="1" ht="36" customHeight="1" thickBot="1" x14ac:dyDescent="0.25">
      <c r="A72" s="60"/>
      <c r="H72" s="27"/>
      <c r="I72" s="68"/>
      <c r="J72" s="68"/>
      <c r="K72" s="68"/>
      <c r="L72" s="68"/>
      <c r="M72" s="68"/>
      <c r="O72" s="139"/>
      <c r="P72" s="139"/>
      <c r="Q72" s="139"/>
      <c r="R72" s="60"/>
      <c r="S72" s="163"/>
      <c r="T72" s="27"/>
      <c r="V72" s="202"/>
      <c r="AB72" s="202"/>
      <c r="AM72" s="202"/>
    </row>
    <row r="73" spans="1:47" s="27" customFormat="1" ht="27" customHeight="1" x14ac:dyDescent="0.25">
      <c r="A73" s="131"/>
      <c r="B73" s="132" t="s">
        <v>0</v>
      </c>
      <c r="C73" s="489" t="str">
        <f>C21</f>
        <v>Aho Jarno</v>
      </c>
      <c r="D73" s="489"/>
      <c r="E73" s="489"/>
      <c r="F73" s="489"/>
      <c r="G73" s="489"/>
      <c r="H73" s="159">
        <f>IF(OR(H74="L",C73=0),0,1)</f>
        <v>1</v>
      </c>
      <c r="I73" s="142"/>
      <c r="J73" s="133"/>
      <c r="K73" s="134" t="s">
        <v>0</v>
      </c>
      <c r="L73" s="497" t="str">
        <f>J21</f>
        <v>Lokkinen Marko</v>
      </c>
      <c r="M73" s="497"/>
      <c r="N73" s="497"/>
      <c r="O73" s="497"/>
      <c r="P73" s="497"/>
      <c r="Q73" s="498"/>
      <c r="R73" s="320"/>
      <c r="S73" s="163">
        <f>IF(OR(I74="L",L73=0),0,1)</f>
        <v>1</v>
      </c>
      <c r="U73" s="61"/>
      <c r="V73" s="202"/>
      <c r="W73" s="61"/>
      <c r="X73" s="61"/>
      <c r="Y73" s="61"/>
      <c r="Z73" s="61"/>
      <c r="AA73" s="61"/>
      <c r="AB73" s="202"/>
      <c r="AC73" s="61"/>
      <c r="AD73" s="61"/>
      <c r="AH73" s="61"/>
      <c r="AI73" s="61"/>
      <c r="AJ73" s="61"/>
      <c r="AK73" s="61"/>
      <c r="AL73" s="61"/>
      <c r="AM73" s="202"/>
      <c r="AN73" s="61"/>
      <c r="AO73" s="61"/>
      <c r="AP73" s="61"/>
      <c r="AQ73" s="61"/>
      <c r="AR73" s="61"/>
      <c r="AS73" s="61"/>
      <c r="AT73" s="61"/>
      <c r="AU73" s="61"/>
    </row>
    <row r="74" spans="1:47" s="27" customFormat="1" x14ac:dyDescent="0.2">
      <c r="A74" s="135"/>
      <c r="B74" s="35"/>
      <c r="C74" s="35"/>
      <c r="D74" s="35"/>
      <c r="E74" s="35"/>
      <c r="F74" s="35"/>
      <c r="G74" s="35"/>
      <c r="H74" s="170"/>
      <c r="I74" s="510"/>
      <c r="J74" s="511"/>
      <c r="K74" s="76"/>
      <c r="L74" s="76"/>
      <c r="M74" s="76"/>
      <c r="N74" s="35"/>
      <c r="O74" s="35"/>
      <c r="P74" s="35"/>
      <c r="Q74" s="361"/>
      <c r="R74" s="189"/>
      <c r="S74" s="163"/>
      <c r="U74" s="61"/>
      <c r="V74" s="202"/>
      <c r="W74" s="61"/>
      <c r="X74" s="61"/>
      <c r="Y74" s="61"/>
      <c r="Z74" s="61"/>
      <c r="AA74" s="61"/>
      <c r="AB74" s="202"/>
      <c r="AC74" s="61"/>
      <c r="AD74" s="61"/>
      <c r="AH74" s="61"/>
      <c r="AI74" s="61"/>
      <c r="AJ74" s="61"/>
      <c r="AK74" s="61"/>
      <c r="AL74" s="61"/>
      <c r="AM74" s="202"/>
      <c r="AN74" s="61"/>
      <c r="AO74" s="61"/>
      <c r="AP74" s="61"/>
      <c r="AQ74" s="61"/>
      <c r="AR74" s="61"/>
      <c r="AS74" s="61"/>
      <c r="AT74" s="61"/>
      <c r="AU74" s="61"/>
    </row>
    <row r="75" spans="1:47" s="27" customFormat="1" x14ac:dyDescent="0.2">
      <c r="A75" s="135"/>
      <c r="B75" s="147" t="s">
        <v>1</v>
      </c>
      <c r="C75" s="72" t="s">
        <v>13</v>
      </c>
      <c r="D75" s="72" t="s">
        <v>14</v>
      </c>
      <c r="E75" s="130" t="s">
        <v>5</v>
      </c>
      <c r="F75" s="72" t="s">
        <v>15</v>
      </c>
      <c r="G75" s="72" t="s">
        <v>16</v>
      </c>
      <c r="H75" s="153"/>
      <c r="I75" s="144"/>
      <c r="J75" s="73"/>
      <c r="K75" s="147" t="s">
        <v>1</v>
      </c>
      <c r="L75" s="72" t="s">
        <v>13</v>
      </c>
      <c r="M75" s="72" t="s">
        <v>14</v>
      </c>
      <c r="N75" s="130" t="s">
        <v>5</v>
      </c>
      <c r="O75" s="318" t="s">
        <v>15</v>
      </c>
      <c r="P75" s="319" t="s">
        <v>16</v>
      </c>
      <c r="Q75" s="362"/>
      <c r="R75" s="363"/>
      <c r="S75" s="163"/>
      <c r="U75" s="61"/>
      <c r="V75" s="202"/>
      <c r="W75" s="61"/>
      <c r="X75" s="61"/>
      <c r="Y75" s="61"/>
      <c r="Z75" s="61"/>
      <c r="AA75" s="61"/>
      <c r="AB75" s="202"/>
      <c r="AC75" s="61"/>
      <c r="AD75" s="61"/>
      <c r="AH75" s="61"/>
      <c r="AI75" s="61"/>
      <c r="AJ75" s="61"/>
      <c r="AK75" s="61"/>
      <c r="AL75" s="61"/>
      <c r="AM75" s="202"/>
      <c r="AN75" s="61"/>
      <c r="AO75" s="61"/>
      <c r="AP75" s="61"/>
      <c r="AQ75" s="61"/>
      <c r="AR75" s="61"/>
      <c r="AS75" s="61"/>
      <c r="AT75" s="61"/>
      <c r="AU75" s="61"/>
    </row>
    <row r="76" spans="1:47" s="27" customFormat="1" ht="30.75" customHeight="1" x14ac:dyDescent="0.2">
      <c r="A76" s="135"/>
      <c r="B76" s="146">
        <v>1</v>
      </c>
      <c r="C76" s="74">
        <v>27</v>
      </c>
      <c r="D76" s="79">
        <v>16</v>
      </c>
      <c r="E76" s="77">
        <f>IF(C76=0,"",IF(C76=0,0,501-D76))</f>
        <v>485</v>
      </c>
      <c r="F76" s="74">
        <v>1</v>
      </c>
      <c r="G76" s="74"/>
      <c r="H76" s="158">
        <f>IF(AND(H73=1,S73=0),1,IF(COUNT(C76:C80)&gt;2,IF(COUNT(D76:D80)=3,0,1),0))</f>
        <v>0</v>
      </c>
      <c r="I76" s="182"/>
      <c r="J76" s="76"/>
      <c r="K76" s="146">
        <v>1</v>
      </c>
      <c r="L76" s="74">
        <v>25</v>
      </c>
      <c r="M76" s="79"/>
      <c r="N76" s="77">
        <f>IF(L76=0," ",IF(L76=0,0,501-M76))</f>
        <v>501</v>
      </c>
      <c r="O76" s="74">
        <v>1</v>
      </c>
      <c r="P76" s="428"/>
      <c r="Q76" s="364"/>
      <c r="R76" s="365"/>
      <c r="S76" s="163"/>
      <c r="U76" s="75">
        <f>IF(AND(S73=1,H73=0),1,IF(COUNT(L76:L80)&gt;2,IF(COUNT(M76:M80)=3,0,1),0))</f>
        <v>1</v>
      </c>
      <c r="V76" s="200" t="str">
        <f>IF(AND(E76=501,N76=501),"TARKISTA JÄI-SARAKE"," ")</f>
        <v xml:space="preserve"> </v>
      </c>
      <c r="W76" s="202"/>
      <c r="X76" s="202"/>
      <c r="Y76" s="202"/>
      <c r="Z76" s="202"/>
      <c r="AA76" s="202"/>
      <c r="AB76" s="201" t="str">
        <f>IF(AND(C76=0,L76&gt;0),"toinen TIKAT-sarake tyhjä !",IF(AND(C76&gt;0,L76=0),"toinen TIKAT-sarake tyhjä !",""))</f>
        <v/>
      </c>
      <c r="AC76" s="202"/>
      <c r="AD76" s="202"/>
      <c r="AE76" s="202"/>
      <c r="AF76" s="202"/>
      <c r="AG76" s="202"/>
      <c r="AH76" s="202"/>
      <c r="AI76" s="202"/>
      <c r="AJ76" s="61"/>
      <c r="AK76" s="61"/>
      <c r="AL76" s="61"/>
      <c r="AM76" s="202"/>
      <c r="AN76" s="61"/>
      <c r="AO76" s="61"/>
      <c r="AP76" s="61"/>
      <c r="AQ76" s="61"/>
      <c r="AR76" s="61"/>
      <c r="AS76" s="61"/>
      <c r="AT76" s="61"/>
      <c r="AU76" s="61"/>
    </row>
    <row r="77" spans="1:47" s="27" customFormat="1" ht="30.75" customHeight="1" x14ac:dyDescent="0.25">
      <c r="A77" s="508" t="s">
        <v>19</v>
      </c>
      <c r="B77" s="146">
        <v>2</v>
      </c>
      <c r="C77" s="74">
        <v>21</v>
      </c>
      <c r="D77" s="79">
        <v>186</v>
      </c>
      <c r="E77" s="77">
        <f>IF(C77=0," ",IF(C77=0,0,501-D77))</f>
        <v>315</v>
      </c>
      <c r="F77" s="74"/>
      <c r="G77" s="74"/>
      <c r="H77" s="136"/>
      <c r="I77" s="182"/>
      <c r="J77" s="76"/>
      <c r="K77" s="146">
        <v>2</v>
      </c>
      <c r="L77" s="74">
        <v>23</v>
      </c>
      <c r="M77" s="79"/>
      <c r="N77" s="77">
        <f>IF(L77=0," ",IF(L77=0,0,501-M77))</f>
        <v>501</v>
      </c>
      <c r="O77" s="74">
        <v>2</v>
      </c>
      <c r="P77" s="428"/>
      <c r="Q77" s="364"/>
      <c r="R77" s="365"/>
      <c r="S77" s="163"/>
      <c r="U77" s="61"/>
      <c r="V77" s="200" t="str">
        <f>IF(AND(E77=501,N77=501),"TARKISTA JÄI-SARAKE"," ")</f>
        <v xml:space="preserve"> </v>
      </c>
      <c r="W77" s="198"/>
      <c r="X77" s="65"/>
      <c r="Y77" s="61"/>
      <c r="Z77" s="61"/>
      <c r="AA77" s="61"/>
      <c r="AB77" s="201" t="str">
        <f>IF(AND(C77=0,L77&gt;0),"toinen TIKAT-sarake tyhjä !",IF(AND(C77&gt;0,L77=0),"toinen TIKAT-sarake tyhjä !",""))</f>
        <v/>
      </c>
      <c r="AC77" s="61"/>
      <c r="AD77" s="61"/>
      <c r="AH77" s="61"/>
      <c r="AI77" s="61"/>
      <c r="AJ77" s="61"/>
      <c r="AK77" s="61"/>
      <c r="AL77" s="61"/>
      <c r="AM77" s="202"/>
      <c r="AN77" s="61"/>
      <c r="AO77" s="61"/>
      <c r="AP77" s="61"/>
      <c r="AQ77" s="61"/>
      <c r="AR77" s="61"/>
      <c r="AS77" s="61"/>
      <c r="AT77" s="61"/>
      <c r="AU77" s="61"/>
    </row>
    <row r="78" spans="1:47" s="27" customFormat="1" ht="30.75" customHeight="1" x14ac:dyDescent="0.25">
      <c r="A78" s="509"/>
      <c r="B78" s="146">
        <v>3</v>
      </c>
      <c r="C78" s="74">
        <v>24</v>
      </c>
      <c r="D78" s="79">
        <v>173</v>
      </c>
      <c r="E78" s="77">
        <f>IF(C78=0," ",IF(C78=0,0,501-D78))</f>
        <v>328</v>
      </c>
      <c r="F78" s="74"/>
      <c r="G78" s="74"/>
      <c r="H78" s="136"/>
      <c r="I78" s="182"/>
      <c r="J78" s="76"/>
      <c r="K78" s="146">
        <v>3</v>
      </c>
      <c r="L78" s="74">
        <v>24</v>
      </c>
      <c r="M78" s="79"/>
      <c r="N78" s="77">
        <f>IF(L78=0," ",IF(L78=0,0,501-M78))</f>
        <v>501</v>
      </c>
      <c r="O78" s="74">
        <v>2</v>
      </c>
      <c r="P78" s="428"/>
      <c r="Q78" s="364"/>
      <c r="R78" s="365"/>
      <c r="S78" s="163"/>
      <c r="U78" s="61"/>
      <c r="V78" s="200" t="str">
        <f>IF(AND(E78=501,N78=501),"TARKISTA JÄI-SARAKE"," ")</f>
        <v xml:space="preserve"> </v>
      </c>
      <c r="W78" s="198"/>
      <c r="X78" s="65"/>
      <c r="Y78" s="61"/>
      <c r="Z78" s="61"/>
      <c r="AA78" s="61"/>
      <c r="AB78" s="201" t="str">
        <f>IF(AND(C78=0,L78&gt;0),"toinen TIKAT-sarake tyhjä !",IF(AND(C78&gt;0,L78=0),"toinen TIKAT-sarake tyhjä !",""))</f>
        <v/>
      </c>
      <c r="AC78" s="61"/>
      <c r="AD78" s="61"/>
      <c r="AH78" s="61"/>
      <c r="AI78" s="61"/>
      <c r="AJ78" s="61"/>
      <c r="AK78" s="61"/>
      <c r="AL78" s="61"/>
      <c r="AM78" s="202"/>
      <c r="AN78" s="61"/>
      <c r="AO78" s="61"/>
      <c r="AP78" s="61"/>
      <c r="AQ78" s="61"/>
      <c r="AR78" s="61"/>
      <c r="AS78" s="61"/>
      <c r="AT78" s="61"/>
      <c r="AU78" s="61"/>
    </row>
    <row r="79" spans="1:47" s="27" customFormat="1" ht="30.75" customHeight="1" x14ac:dyDescent="0.25">
      <c r="A79" s="509"/>
      <c r="B79" s="146">
        <v>4</v>
      </c>
      <c r="C79" s="74"/>
      <c r="D79" s="79"/>
      <c r="E79" s="77" t="str">
        <f>IF(C79=0," ",IF(C79=0,0,501-D79))</f>
        <v xml:space="preserve"> </v>
      </c>
      <c r="F79" s="74"/>
      <c r="G79" s="74"/>
      <c r="H79" s="136"/>
      <c r="I79" s="182"/>
      <c r="J79" s="76"/>
      <c r="K79" s="146">
        <v>4</v>
      </c>
      <c r="L79" s="74"/>
      <c r="M79" s="79"/>
      <c r="N79" s="77" t="str">
        <f>IF(L79=0," ",IF(L79=0,0,501-M79))</f>
        <v xml:space="preserve"> </v>
      </c>
      <c r="O79" s="74"/>
      <c r="P79" s="428"/>
      <c r="Q79" s="364"/>
      <c r="R79" s="365"/>
      <c r="S79" s="163"/>
      <c r="U79" s="61"/>
      <c r="V79" s="200" t="str">
        <f>IF(AND(E79=501,N79=501),"TARKISTA JÄI-SARAKE"," ")</f>
        <v xml:space="preserve"> </v>
      </c>
      <c r="W79" s="198"/>
      <c r="X79" s="65"/>
      <c r="Y79" s="61"/>
      <c r="Z79" s="61"/>
      <c r="AA79" s="61"/>
      <c r="AB79" s="201" t="str">
        <f>IF(AND(C79=0,L79&gt;0),"toinen TIKAT-sarake tyhjä !",IF(AND(C79&gt;0,L79=0),"toinen TIKAT-sarake tyhjä !",""))</f>
        <v/>
      </c>
      <c r="AC79" s="61"/>
      <c r="AD79" s="61"/>
      <c r="AH79" s="61"/>
      <c r="AI79" s="61"/>
      <c r="AJ79" s="61"/>
      <c r="AK79" s="61"/>
      <c r="AL79" s="61"/>
      <c r="AM79" s="202"/>
      <c r="AN79" s="61"/>
      <c r="AO79" s="61"/>
      <c r="AP79" s="61"/>
      <c r="AQ79" s="61"/>
      <c r="AR79" s="61"/>
      <c r="AS79" s="61"/>
      <c r="AT79" s="61"/>
      <c r="AU79" s="61"/>
    </row>
    <row r="80" spans="1:47" s="27" customFormat="1" ht="30.75" customHeight="1" x14ac:dyDescent="0.25">
      <c r="A80" s="135"/>
      <c r="B80" s="146">
        <v>5</v>
      </c>
      <c r="C80" s="74"/>
      <c r="D80" s="79"/>
      <c r="E80" s="77" t="str">
        <f>IF(C80=0," ",IF(C80=0,0,501-D80))</f>
        <v xml:space="preserve"> </v>
      </c>
      <c r="F80" s="74"/>
      <c r="G80" s="74"/>
      <c r="H80" s="136"/>
      <c r="I80" s="182"/>
      <c r="J80" s="76"/>
      <c r="K80" s="146">
        <v>5</v>
      </c>
      <c r="L80" s="74"/>
      <c r="M80" s="79"/>
      <c r="N80" s="77" t="str">
        <f>IF(L80=0," ",IF(L80=0,0,501-M80))</f>
        <v xml:space="preserve"> </v>
      </c>
      <c r="O80" s="74"/>
      <c r="P80" s="428"/>
      <c r="Q80" s="364"/>
      <c r="R80" s="365"/>
      <c r="S80" s="163"/>
      <c r="U80" s="61"/>
      <c r="V80" s="200" t="str">
        <f>IF(AND(E80=501,N80=501),"TARKISTA JÄI-SARAKE"," ")</f>
        <v xml:space="preserve"> </v>
      </c>
      <c r="W80" s="198"/>
      <c r="X80" s="65"/>
      <c r="Y80" s="61"/>
      <c r="Z80" s="61"/>
      <c r="AA80" s="61"/>
      <c r="AB80" s="201" t="str">
        <f>IF(AND(C80=0,L80&gt;0),"toinen TIKAT-sarake tyhjä !",IF(AND(C80&gt;0,L80=0),"toinen TIKAT-sarake tyhjä !",""))</f>
        <v/>
      </c>
      <c r="AC80" s="61"/>
      <c r="AD80" s="61"/>
      <c r="AH80" s="61"/>
      <c r="AI80" s="61"/>
      <c r="AJ80" s="61"/>
      <c r="AK80" s="61"/>
      <c r="AL80" s="61"/>
      <c r="AM80" s="202"/>
      <c r="AN80" s="61"/>
      <c r="AO80" s="61"/>
      <c r="AP80" s="61"/>
      <c r="AQ80" s="61"/>
      <c r="AR80" s="61"/>
      <c r="AS80" s="61"/>
      <c r="AT80" s="61"/>
      <c r="AU80" s="61"/>
    </row>
    <row r="81" spans="1:47" s="27" customFormat="1" ht="19.5" customHeight="1" thickBot="1" x14ac:dyDescent="0.25">
      <c r="A81" s="372"/>
      <c r="B81" s="369" t="s">
        <v>19</v>
      </c>
      <c r="C81" s="154">
        <f>COUNTIF(C76:C80,"&gt;0")</f>
        <v>3</v>
      </c>
      <c r="D81" s="154">
        <f>COUNTIF(D76:D80,"&gt;0")</f>
        <v>3</v>
      </c>
      <c r="E81" s="139"/>
      <c r="F81" s="139"/>
      <c r="G81" s="139"/>
      <c r="H81" s="152"/>
      <c r="I81" s="150"/>
      <c r="J81" s="151"/>
      <c r="K81" s="151"/>
      <c r="L81" s="154">
        <f>COUNTIF(L76:L80,"&gt;0")</f>
        <v>3</v>
      </c>
      <c r="M81" s="154">
        <f>COUNTIF(M76:M80,"&gt;0")</f>
        <v>0</v>
      </c>
      <c r="N81" s="139"/>
      <c r="O81" s="139"/>
      <c r="P81" s="139"/>
      <c r="Q81" s="366"/>
      <c r="R81" s="189"/>
      <c r="S81" s="163"/>
      <c r="U81" s="61"/>
      <c r="V81" s="202"/>
      <c r="W81" s="61"/>
      <c r="X81" s="61"/>
      <c r="Y81" s="61"/>
      <c r="Z81" s="61"/>
      <c r="AA81" s="61"/>
      <c r="AB81" s="202"/>
      <c r="AC81" s="61"/>
      <c r="AD81" s="61"/>
      <c r="AH81" s="61"/>
      <c r="AI81" s="61"/>
      <c r="AJ81" s="61"/>
      <c r="AK81" s="61"/>
      <c r="AL81" s="61"/>
      <c r="AM81" s="202"/>
      <c r="AN81" s="61"/>
      <c r="AO81" s="61"/>
      <c r="AP81" s="61"/>
      <c r="AQ81" s="61"/>
      <c r="AR81" s="61"/>
      <c r="AS81" s="61"/>
      <c r="AT81" s="61"/>
      <c r="AU81" s="61"/>
    </row>
    <row r="82" spans="1:47" s="61" customFormat="1" ht="36.75" customHeight="1" thickBot="1" x14ac:dyDescent="0.25">
      <c r="A82" s="60"/>
      <c r="H82" s="27"/>
      <c r="I82" s="68"/>
      <c r="J82" s="68"/>
      <c r="K82" s="68"/>
      <c r="L82" s="68"/>
      <c r="M82" s="68"/>
      <c r="O82" s="139"/>
      <c r="P82" s="139"/>
      <c r="Q82" s="152"/>
      <c r="R82" s="60"/>
      <c r="S82" s="163"/>
      <c r="T82" s="27"/>
      <c r="V82" s="202"/>
      <c r="AB82" s="202"/>
      <c r="AM82" s="202"/>
    </row>
    <row r="83" spans="1:47" s="27" customFormat="1" ht="29.25" customHeight="1" x14ac:dyDescent="0.25">
      <c r="A83" s="131"/>
      <c r="B83" s="132" t="s">
        <v>0</v>
      </c>
      <c r="C83" s="489" t="str">
        <f>C22</f>
        <v>Nyholm Mikael</v>
      </c>
      <c r="D83" s="489"/>
      <c r="E83" s="489"/>
      <c r="F83" s="489"/>
      <c r="G83" s="489"/>
      <c r="H83" s="159">
        <f>IF(OR(H84="L",C83=0),0,1)</f>
        <v>1</v>
      </c>
      <c r="I83" s="142"/>
      <c r="J83" s="133"/>
      <c r="K83" s="134" t="s">
        <v>0</v>
      </c>
      <c r="L83" s="497" t="str">
        <f>J22</f>
        <v>Mantila Petri</v>
      </c>
      <c r="M83" s="497"/>
      <c r="N83" s="497"/>
      <c r="O83" s="497"/>
      <c r="P83" s="497"/>
      <c r="Q83" s="498"/>
      <c r="R83" s="320"/>
      <c r="S83" s="163">
        <f>IF(OR(I84="L",L83=0),0,1)</f>
        <v>1</v>
      </c>
      <c r="U83" s="61"/>
      <c r="V83" s="202"/>
      <c r="W83" s="61"/>
      <c r="X83" s="61"/>
      <c r="Y83" s="61"/>
      <c r="Z83" s="61"/>
      <c r="AA83" s="61"/>
      <c r="AB83" s="202"/>
      <c r="AC83" s="61"/>
      <c r="AD83" s="61"/>
      <c r="AH83" s="61"/>
      <c r="AI83" s="61"/>
      <c r="AJ83" s="61"/>
      <c r="AK83" s="61"/>
      <c r="AL83" s="61"/>
      <c r="AM83" s="202"/>
      <c r="AN83" s="61"/>
      <c r="AO83" s="61"/>
      <c r="AP83" s="61"/>
      <c r="AQ83" s="61"/>
      <c r="AR83" s="61"/>
      <c r="AS83" s="61"/>
      <c r="AT83" s="61"/>
      <c r="AU83" s="61"/>
    </row>
    <row r="84" spans="1:47" s="27" customFormat="1" x14ac:dyDescent="0.2">
      <c r="A84" s="135"/>
      <c r="B84" s="35"/>
      <c r="C84" s="35"/>
      <c r="D84" s="35"/>
      <c r="E84" s="35"/>
      <c r="F84" s="35"/>
      <c r="G84" s="35"/>
      <c r="H84" s="170"/>
      <c r="I84" s="510"/>
      <c r="J84" s="511"/>
      <c r="K84" s="76"/>
      <c r="L84" s="76"/>
      <c r="M84" s="76"/>
      <c r="N84" s="35"/>
      <c r="O84" s="35"/>
      <c r="P84" s="35"/>
      <c r="Q84" s="361"/>
      <c r="R84" s="189"/>
      <c r="S84" s="163"/>
      <c r="U84" s="61"/>
      <c r="V84" s="202"/>
      <c r="W84" s="61"/>
      <c r="X84" s="61"/>
      <c r="Y84" s="61"/>
      <c r="Z84" s="61"/>
      <c r="AA84" s="61"/>
      <c r="AB84" s="202"/>
      <c r="AC84" s="61"/>
      <c r="AD84" s="61"/>
      <c r="AH84" s="61"/>
      <c r="AI84" s="61"/>
      <c r="AJ84" s="61"/>
      <c r="AK84" s="61"/>
      <c r="AL84" s="61"/>
      <c r="AM84" s="202"/>
      <c r="AN84" s="61"/>
      <c r="AO84" s="61"/>
      <c r="AP84" s="61"/>
      <c r="AQ84" s="61"/>
      <c r="AR84" s="61"/>
      <c r="AS84" s="61"/>
      <c r="AT84" s="61"/>
      <c r="AU84" s="61"/>
    </row>
    <row r="85" spans="1:47" s="27" customFormat="1" x14ac:dyDescent="0.2">
      <c r="A85" s="135"/>
      <c r="B85" s="147" t="s">
        <v>1</v>
      </c>
      <c r="C85" s="72" t="s">
        <v>13</v>
      </c>
      <c r="D85" s="72" t="s">
        <v>14</v>
      </c>
      <c r="E85" s="130" t="s">
        <v>5</v>
      </c>
      <c r="F85" s="72" t="s">
        <v>15</v>
      </c>
      <c r="G85" s="72" t="s">
        <v>16</v>
      </c>
      <c r="H85" s="157"/>
      <c r="I85" s="144"/>
      <c r="J85" s="73"/>
      <c r="K85" s="147" t="s">
        <v>1</v>
      </c>
      <c r="L85" s="72" t="s">
        <v>13</v>
      </c>
      <c r="M85" s="72" t="s">
        <v>14</v>
      </c>
      <c r="N85" s="130" t="s">
        <v>5</v>
      </c>
      <c r="O85" s="318" t="s">
        <v>15</v>
      </c>
      <c r="P85" s="319" t="s">
        <v>16</v>
      </c>
      <c r="Q85" s="362"/>
      <c r="R85" s="363"/>
      <c r="S85" s="163"/>
      <c r="U85" s="61"/>
      <c r="V85" s="202"/>
      <c r="W85" s="61"/>
      <c r="X85" s="61"/>
      <c r="Y85" s="61"/>
      <c r="Z85" s="61"/>
      <c r="AA85" s="61"/>
      <c r="AB85" s="202"/>
      <c r="AC85" s="61"/>
      <c r="AD85" s="61"/>
      <c r="AH85" s="61"/>
      <c r="AI85" s="61"/>
      <c r="AJ85" s="61"/>
      <c r="AK85" s="61"/>
      <c r="AL85" s="61"/>
      <c r="AM85" s="202"/>
      <c r="AN85" s="61"/>
      <c r="AO85" s="61"/>
      <c r="AP85" s="61"/>
      <c r="AQ85" s="61"/>
      <c r="AR85" s="61"/>
      <c r="AS85" s="61"/>
      <c r="AT85" s="61"/>
      <c r="AU85" s="61"/>
    </row>
    <row r="86" spans="1:47" s="27" customFormat="1" ht="30" customHeight="1" x14ac:dyDescent="0.2">
      <c r="A86" s="135"/>
      <c r="B86" s="146">
        <v>1</v>
      </c>
      <c r="C86" s="74">
        <v>21</v>
      </c>
      <c r="D86" s="79">
        <v>165</v>
      </c>
      <c r="E86" s="77">
        <f>IF(C86=0," ",IF(C86=0,0,501-D86))</f>
        <v>336</v>
      </c>
      <c r="F86" s="74"/>
      <c r="G86" s="74"/>
      <c r="H86" s="158">
        <f>IF(AND(H83=1,S83=0),1,IF(COUNT(C86:C90)&gt;2,IF(COUNT(D86:D90)=3,0,1),0))</f>
        <v>0</v>
      </c>
      <c r="I86" s="182"/>
      <c r="J86" s="76"/>
      <c r="K86" s="146">
        <v>1</v>
      </c>
      <c r="L86" s="74">
        <v>24</v>
      </c>
      <c r="M86" s="79"/>
      <c r="N86" s="77">
        <f>IF(L86=0," ",IF(L86=0,0,501-M86))</f>
        <v>501</v>
      </c>
      <c r="O86" s="74"/>
      <c r="P86" s="352"/>
      <c r="Q86" s="364"/>
      <c r="R86" s="365"/>
      <c r="S86" s="163"/>
      <c r="U86" s="75">
        <f>IF(AND(S83=1,H83=0),1,IF(COUNT(L86:L90)&gt;2,IF(COUNT(M86:M90)=3,0,1),0))</f>
        <v>1</v>
      </c>
      <c r="V86" s="200" t="str">
        <f>IF(AND(E86=501,N86=501),"TARKISTA JÄI-SARAKE"," ")</f>
        <v xml:space="preserve"> </v>
      </c>
      <c r="W86" s="202"/>
      <c r="X86" s="202"/>
      <c r="Y86" s="202"/>
      <c r="Z86" s="202"/>
      <c r="AA86" s="202"/>
      <c r="AB86" s="201" t="str">
        <f>IF(AND(C86=0,L86&gt;0),"toinen TIKAT-sarake tyhjä !",IF(AND(C86&gt;0,L86=0),"toinen TIKAT-sarake tyhjä !",""))</f>
        <v/>
      </c>
      <c r="AC86" s="202"/>
      <c r="AD86" s="202"/>
      <c r="AE86" s="202"/>
      <c r="AF86" s="202"/>
      <c r="AG86" s="202"/>
      <c r="AH86" s="202"/>
      <c r="AI86" s="202"/>
      <c r="AJ86" s="61"/>
      <c r="AK86" s="61"/>
      <c r="AL86" s="61"/>
      <c r="AM86" s="202"/>
      <c r="AN86" s="61"/>
      <c r="AO86" s="61"/>
      <c r="AP86" s="61"/>
      <c r="AQ86" s="61"/>
      <c r="AR86" s="61"/>
      <c r="AS86" s="61"/>
      <c r="AT86" s="61"/>
      <c r="AU86" s="61"/>
    </row>
    <row r="87" spans="1:47" s="27" customFormat="1" ht="30" customHeight="1" x14ac:dyDescent="0.25">
      <c r="A87" s="508" t="s">
        <v>20</v>
      </c>
      <c r="B87" s="146">
        <v>2</v>
      </c>
      <c r="C87" s="74">
        <v>37</v>
      </c>
      <c r="D87" s="79"/>
      <c r="E87" s="77">
        <f>IF(C87=0," ",IF(C87=0,0,501-D87))</f>
        <v>501</v>
      </c>
      <c r="F87" s="74"/>
      <c r="G87" s="74"/>
      <c r="H87" s="156"/>
      <c r="I87" s="182"/>
      <c r="J87" s="76"/>
      <c r="K87" s="146">
        <v>2</v>
      </c>
      <c r="L87" s="74">
        <v>36</v>
      </c>
      <c r="M87" s="79">
        <v>8</v>
      </c>
      <c r="N87" s="77">
        <f>IF(L87=0," ",IF(L87=0,0,501-M87))</f>
        <v>493</v>
      </c>
      <c r="O87" s="74"/>
      <c r="P87" s="352"/>
      <c r="Q87" s="364"/>
      <c r="R87" s="365"/>
      <c r="S87" s="163"/>
      <c r="U87" s="61"/>
      <c r="V87" s="200" t="str">
        <f>IF(AND(E87=501,N87=501),"TARKISTA JÄI-SARAKE"," ")</f>
        <v xml:space="preserve"> </v>
      </c>
      <c r="W87" s="198"/>
      <c r="X87" s="65"/>
      <c r="Y87" s="61"/>
      <c r="Z87" s="61"/>
      <c r="AA87" s="61"/>
      <c r="AB87" s="201" t="str">
        <f>IF(AND(C87=0,L87&gt;0),"toinen TIKAT-sarake tyhjä !",IF(AND(C87&gt;0,L87=0),"toinen TIKAT-sarake tyhjä !",""))</f>
        <v/>
      </c>
      <c r="AC87" s="61"/>
      <c r="AD87" s="61"/>
      <c r="AH87" s="61"/>
      <c r="AI87" s="61"/>
      <c r="AJ87" s="61"/>
      <c r="AK87" s="61"/>
      <c r="AL87" s="61"/>
      <c r="AM87" s="202"/>
      <c r="AN87" s="61"/>
      <c r="AO87" s="61"/>
      <c r="AP87" s="61"/>
      <c r="AQ87" s="61"/>
      <c r="AR87" s="61"/>
      <c r="AS87" s="61"/>
      <c r="AT87" s="61"/>
      <c r="AU87" s="61"/>
    </row>
    <row r="88" spans="1:47" s="27" customFormat="1" ht="30" customHeight="1" x14ac:dyDescent="0.25">
      <c r="A88" s="509"/>
      <c r="B88" s="146">
        <v>3</v>
      </c>
      <c r="C88" s="74">
        <v>27</v>
      </c>
      <c r="D88" s="79">
        <v>24</v>
      </c>
      <c r="E88" s="77">
        <f>IF(C88=0," ",IF(C88=0,0,501-D88))</f>
        <v>477</v>
      </c>
      <c r="F88" s="74">
        <v>1</v>
      </c>
      <c r="G88" s="74"/>
      <c r="H88" s="136"/>
      <c r="I88" s="182"/>
      <c r="J88" s="76"/>
      <c r="K88" s="146">
        <v>3</v>
      </c>
      <c r="L88" s="74">
        <v>28</v>
      </c>
      <c r="M88" s="79"/>
      <c r="N88" s="77">
        <f>IF(L88=0," ",IF(L88=0,0,501-M88))</f>
        <v>501</v>
      </c>
      <c r="O88" s="74">
        <v>1</v>
      </c>
      <c r="P88" s="352"/>
      <c r="Q88" s="364"/>
      <c r="R88" s="365"/>
      <c r="S88" s="163"/>
      <c r="U88" s="61"/>
      <c r="V88" s="200" t="str">
        <f>IF(AND(E88=501,N88=501),"TARKISTA JÄI-SARAKE"," ")</f>
        <v xml:space="preserve"> </v>
      </c>
      <c r="W88" s="198"/>
      <c r="X88" s="65"/>
      <c r="Y88" s="61"/>
      <c r="Z88" s="61"/>
      <c r="AA88" s="61"/>
      <c r="AB88" s="201" t="str">
        <f>IF(AND(C88=0,L88&gt;0),"toinen TIKAT-sarake tyhjä !",IF(AND(C88&gt;0,L88=0),"toinen TIKAT-sarake tyhjä !",""))</f>
        <v/>
      </c>
      <c r="AC88" s="61"/>
      <c r="AD88" s="61"/>
      <c r="AH88" s="61"/>
      <c r="AI88" s="61"/>
      <c r="AJ88" s="61"/>
      <c r="AK88" s="61"/>
      <c r="AL88" s="61"/>
      <c r="AM88" s="202"/>
      <c r="AN88" s="61"/>
      <c r="AO88" s="61"/>
      <c r="AP88" s="61"/>
      <c r="AQ88" s="61"/>
      <c r="AR88" s="61"/>
      <c r="AS88" s="61"/>
      <c r="AT88" s="61"/>
      <c r="AU88" s="61"/>
    </row>
    <row r="89" spans="1:47" s="27" customFormat="1" ht="30" customHeight="1" x14ac:dyDescent="0.25">
      <c r="A89" s="509"/>
      <c r="B89" s="146">
        <v>4</v>
      </c>
      <c r="C89" s="74">
        <v>39</v>
      </c>
      <c r="D89" s="79">
        <v>16</v>
      </c>
      <c r="E89" s="77">
        <f>IF(C89=0," ",IF(C89=0,0,501-D89))</f>
        <v>485</v>
      </c>
      <c r="F89" s="74"/>
      <c r="G89" s="74"/>
      <c r="H89" s="136"/>
      <c r="I89" s="182"/>
      <c r="J89" s="76"/>
      <c r="K89" s="146">
        <v>4</v>
      </c>
      <c r="L89" s="74">
        <v>38</v>
      </c>
      <c r="M89" s="79"/>
      <c r="N89" s="77">
        <f>IF(L89=0," ",IF(L89=0,0,501-M89))</f>
        <v>501</v>
      </c>
      <c r="O89" s="74">
        <v>1</v>
      </c>
      <c r="P89" s="352"/>
      <c r="Q89" s="364"/>
      <c r="R89" s="365"/>
      <c r="S89" s="163"/>
      <c r="U89" s="61"/>
      <c r="V89" s="200" t="str">
        <f>IF(AND(E89=501,N89=501),"TARKISTA JÄI-SARAKE"," ")</f>
        <v xml:space="preserve"> </v>
      </c>
      <c r="W89" s="198"/>
      <c r="X89" s="65"/>
      <c r="Y89" s="61"/>
      <c r="Z89" s="61"/>
      <c r="AA89" s="61"/>
      <c r="AB89" s="201" t="str">
        <f>IF(AND(C89=0,L89&gt;0),"toinen TIKAT-sarake tyhjä !",IF(AND(C89&gt;0,L89=0),"toinen TIKAT-sarake tyhjä !",""))</f>
        <v/>
      </c>
      <c r="AC89" s="61"/>
      <c r="AD89" s="61"/>
      <c r="AH89" s="61"/>
      <c r="AI89" s="61"/>
      <c r="AJ89" s="61"/>
      <c r="AK89" s="61"/>
      <c r="AL89" s="61"/>
      <c r="AM89" s="202"/>
      <c r="AN89" s="61"/>
      <c r="AO89" s="61"/>
      <c r="AP89" s="61"/>
      <c r="AQ89" s="61"/>
      <c r="AR89" s="61"/>
      <c r="AS89" s="61"/>
      <c r="AT89" s="61"/>
      <c r="AU89" s="61"/>
    </row>
    <row r="90" spans="1:47" s="27" customFormat="1" ht="30" customHeight="1" x14ac:dyDescent="0.25">
      <c r="A90" s="135"/>
      <c r="B90" s="146">
        <v>5</v>
      </c>
      <c r="C90" s="74"/>
      <c r="D90" s="79"/>
      <c r="E90" s="77" t="str">
        <f>IF(C90=0," ",IF(C90=0,0,501-D90))</f>
        <v xml:space="preserve"> </v>
      </c>
      <c r="F90" s="74"/>
      <c r="G90" s="74"/>
      <c r="H90" s="136"/>
      <c r="I90" s="182"/>
      <c r="J90" s="76"/>
      <c r="K90" s="146">
        <v>5</v>
      </c>
      <c r="L90" s="74"/>
      <c r="M90" s="79"/>
      <c r="N90" s="77" t="str">
        <f>IF(L90=0," ",IF(L90=0,0,501-M90))</f>
        <v xml:space="preserve"> </v>
      </c>
      <c r="O90" s="74"/>
      <c r="P90" s="352"/>
      <c r="Q90" s="364"/>
      <c r="R90" s="365"/>
      <c r="S90" s="163"/>
      <c r="U90" s="61"/>
      <c r="V90" s="200" t="str">
        <f>IF(AND(E90=501,N90=501),"TARKISTA JÄI-SARAKE"," ")</f>
        <v xml:space="preserve"> </v>
      </c>
      <c r="W90" s="198"/>
      <c r="X90" s="65"/>
      <c r="Y90" s="61"/>
      <c r="Z90" s="61"/>
      <c r="AA90" s="61"/>
      <c r="AB90" s="201" t="str">
        <f>IF(AND(C90=0,L90&gt;0),"toinen TIKAT-sarake tyhjä !",IF(AND(C90&gt;0,L90=0),"toinen TIKAT-sarake tyhjä !",""))</f>
        <v/>
      </c>
      <c r="AC90" s="61"/>
      <c r="AD90" s="61"/>
      <c r="AH90" s="61"/>
      <c r="AI90" s="61"/>
      <c r="AJ90" s="61"/>
      <c r="AK90" s="61"/>
      <c r="AL90" s="61"/>
      <c r="AM90" s="202"/>
      <c r="AN90" s="61"/>
      <c r="AO90" s="61"/>
      <c r="AP90" s="61"/>
      <c r="AQ90" s="61"/>
      <c r="AR90" s="61"/>
      <c r="AS90" s="61"/>
      <c r="AT90" s="61"/>
      <c r="AU90" s="61"/>
    </row>
    <row r="91" spans="1:47" s="27" customFormat="1" ht="16.5" customHeight="1" thickBot="1" x14ac:dyDescent="0.25">
      <c r="A91" s="148"/>
      <c r="B91" s="139"/>
      <c r="C91" s="154">
        <f>COUNTIF(C86:C90,"&gt;0")</f>
        <v>4</v>
      </c>
      <c r="D91" s="154">
        <f>COUNTIF(D86:D90,"&gt;0")</f>
        <v>3</v>
      </c>
      <c r="E91" s="139"/>
      <c r="F91" s="139"/>
      <c r="G91" s="139"/>
      <c r="H91" s="152"/>
      <c r="I91" s="150"/>
      <c r="J91" s="151"/>
      <c r="K91" s="151"/>
      <c r="L91" s="154">
        <f>COUNTIF(L86:L90,"&gt;0")</f>
        <v>4</v>
      </c>
      <c r="M91" s="154">
        <f>COUNTIF(M86:M90,"&gt;0")</f>
        <v>1</v>
      </c>
      <c r="N91" s="139"/>
      <c r="O91" s="139"/>
      <c r="P91" s="139"/>
      <c r="Q91" s="366"/>
      <c r="R91" s="189"/>
      <c r="S91" s="163"/>
      <c r="T91" s="35"/>
      <c r="U91" s="60"/>
      <c r="V91" s="203"/>
      <c r="W91" s="60"/>
      <c r="X91" s="60"/>
      <c r="Y91" s="60"/>
      <c r="Z91" s="61"/>
      <c r="AA91" s="61"/>
      <c r="AB91" s="202"/>
      <c r="AC91" s="61"/>
      <c r="AD91" s="61"/>
      <c r="AH91" s="61"/>
      <c r="AI91" s="61"/>
      <c r="AJ91" s="61"/>
      <c r="AK91" s="61"/>
      <c r="AL91" s="61"/>
      <c r="AM91" s="202"/>
      <c r="AN91" s="61"/>
      <c r="AO91" s="61"/>
      <c r="AP91" s="61"/>
      <c r="AQ91" s="61"/>
      <c r="AR91" s="61"/>
      <c r="AS91" s="61"/>
      <c r="AT91" s="61"/>
      <c r="AU91" s="61"/>
    </row>
    <row r="92" spans="1:47" s="61" customFormat="1" ht="36" customHeight="1" thickBot="1" x14ac:dyDescent="0.25">
      <c r="A92" s="66"/>
      <c r="B92" s="374" t="s">
        <v>20</v>
      </c>
      <c r="C92" s="66"/>
      <c r="D92" s="60"/>
      <c r="E92" s="60"/>
      <c r="F92" s="60"/>
      <c r="G92" s="60"/>
      <c r="H92" s="35"/>
      <c r="I92" s="81"/>
      <c r="J92" s="81"/>
      <c r="K92" s="81"/>
      <c r="L92" s="81"/>
      <c r="M92" s="81"/>
      <c r="N92" s="60"/>
      <c r="O92" s="60"/>
      <c r="P92" s="60"/>
      <c r="Q92" s="60"/>
      <c r="R92" s="60"/>
      <c r="S92" s="163"/>
      <c r="T92" s="35"/>
      <c r="U92" s="60"/>
      <c r="V92" s="203"/>
      <c r="W92" s="60"/>
      <c r="AB92" s="202"/>
      <c r="AM92" s="202"/>
    </row>
    <row r="93" spans="1:47" s="27" customFormat="1" ht="30" customHeight="1" x14ac:dyDescent="0.25">
      <c r="A93" s="131"/>
      <c r="B93" s="132" t="s">
        <v>0</v>
      </c>
      <c r="C93" s="489" t="str">
        <f>C23</f>
        <v>Lindholm Tobias</v>
      </c>
      <c r="D93" s="489"/>
      <c r="E93" s="489"/>
      <c r="F93" s="489"/>
      <c r="G93" s="489"/>
      <c r="H93" s="159">
        <f>IF(OR(H94="L",C93=0),0,1)</f>
        <v>1</v>
      </c>
      <c r="I93" s="142"/>
      <c r="J93" s="133"/>
      <c r="K93" s="134" t="s">
        <v>0</v>
      </c>
      <c r="L93" s="497" t="str">
        <f>J23</f>
        <v>Nevalainen Ari</v>
      </c>
      <c r="M93" s="497"/>
      <c r="N93" s="497"/>
      <c r="O93" s="497"/>
      <c r="P93" s="497"/>
      <c r="Q93" s="498"/>
      <c r="R93" s="320"/>
      <c r="S93" s="163">
        <f>IF(OR(I94="L",L93=0),0,1)</f>
        <v>1</v>
      </c>
      <c r="U93" s="61"/>
      <c r="V93" s="202"/>
      <c r="W93" s="61"/>
      <c r="X93" s="61"/>
      <c r="Y93" s="61"/>
      <c r="Z93" s="61"/>
      <c r="AA93" s="61"/>
      <c r="AB93" s="202"/>
      <c r="AC93" s="61"/>
      <c r="AD93" s="61"/>
      <c r="AH93" s="61"/>
      <c r="AI93" s="61"/>
      <c r="AJ93" s="61"/>
      <c r="AK93" s="61"/>
      <c r="AL93" s="61"/>
      <c r="AM93" s="202"/>
      <c r="AN93" s="61"/>
      <c r="AO93" s="61"/>
      <c r="AP93" s="61"/>
      <c r="AQ93" s="61"/>
      <c r="AR93" s="61"/>
      <c r="AS93" s="61"/>
      <c r="AT93" s="61"/>
      <c r="AU93" s="61"/>
    </row>
    <row r="94" spans="1:47" s="27" customFormat="1" x14ac:dyDescent="0.2">
      <c r="A94" s="135"/>
      <c r="B94" s="35"/>
      <c r="C94" s="35"/>
      <c r="D94" s="35"/>
      <c r="E94" s="35"/>
      <c r="F94" s="35"/>
      <c r="G94" s="35"/>
      <c r="H94" s="170"/>
      <c r="I94" s="510"/>
      <c r="J94" s="511"/>
      <c r="K94" s="76"/>
      <c r="L94" s="76"/>
      <c r="M94" s="76"/>
      <c r="N94" s="35"/>
      <c r="O94" s="35"/>
      <c r="P94" s="35"/>
      <c r="Q94" s="361"/>
      <c r="R94" s="189"/>
      <c r="S94" s="163"/>
      <c r="U94" s="61"/>
      <c r="V94" s="202"/>
      <c r="W94" s="61"/>
      <c r="X94" s="61"/>
      <c r="Y94" s="61"/>
      <c r="Z94" s="61"/>
      <c r="AA94" s="61"/>
      <c r="AB94" s="202"/>
      <c r="AC94" s="61"/>
      <c r="AD94" s="61"/>
      <c r="AH94" s="61"/>
      <c r="AI94" s="61"/>
      <c r="AJ94" s="61"/>
      <c r="AK94" s="61"/>
      <c r="AL94" s="61"/>
      <c r="AM94" s="202"/>
      <c r="AN94" s="61"/>
      <c r="AO94" s="61"/>
      <c r="AP94" s="61"/>
      <c r="AQ94" s="61"/>
      <c r="AR94" s="61"/>
      <c r="AS94" s="61"/>
      <c r="AT94" s="61"/>
      <c r="AU94" s="61"/>
    </row>
    <row r="95" spans="1:47" s="27" customFormat="1" x14ac:dyDescent="0.2">
      <c r="A95" s="135"/>
      <c r="B95" s="147" t="s">
        <v>1</v>
      </c>
      <c r="C95" s="72" t="s">
        <v>13</v>
      </c>
      <c r="D95" s="72" t="s">
        <v>14</v>
      </c>
      <c r="E95" s="130" t="s">
        <v>5</v>
      </c>
      <c r="F95" s="72" t="s">
        <v>15</v>
      </c>
      <c r="G95" s="72" t="s">
        <v>16</v>
      </c>
      <c r="H95" s="157"/>
      <c r="I95" s="144"/>
      <c r="J95" s="73"/>
      <c r="K95" s="147" t="s">
        <v>1</v>
      </c>
      <c r="L95" s="72" t="s">
        <v>13</v>
      </c>
      <c r="M95" s="72" t="s">
        <v>14</v>
      </c>
      <c r="N95" s="130" t="s">
        <v>5</v>
      </c>
      <c r="O95" s="318" t="s">
        <v>15</v>
      </c>
      <c r="P95" s="319" t="s">
        <v>16</v>
      </c>
      <c r="Q95" s="362"/>
      <c r="R95" s="363"/>
      <c r="S95" s="163"/>
      <c r="U95" s="61"/>
      <c r="V95" s="202"/>
      <c r="W95" s="61"/>
      <c r="X95" s="61"/>
      <c r="Y95" s="61"/>
      <c r="Z95" s="61"/>
      <c r="AA95" s="61"/>
      <c r="AB95" s="202"/>
      <c r="AC95" s="61"/>
      <c r="AD95" s="61"/>
      <c r="AH95" s="61"/>
      <c r="AI95" s="61"/>
      <c r="AJ95" s="61"/>
      <c r="AK95" s="61"/>
      <c r="AL95" s="61"/>
      <c r="AM95" s="202"/>
      <c r="AN95" s="61"/>
      <c r="AO95" s="61"/>
      <c r="AP95" s="61"/>
      <c r="AQ95" s="61"/>
      <c r="AR95" s="61"/>
      <c r="AS95" s="61"/>
      <c r="AT95" s="61"/>
      <c r="AU95" s="61"/>
    </row>
    <row r="96" spans="1:47" s="27" customFormat="1" ht="30.75" customHeight="1" x14ac:dyDescent="0.2">
      <c r="A96" s="135"/>
      <c r="B96" s="146">
        <v>1</v>
      </c>
      <c r="C96" s="74">
        <v>30</v>
      </c>
      <c r="D96" s="79">
        <v>20</v>
      </c>
      <c r="E96" s="77">
        <f>IF(C96=0," ",IF(C96=0,0,501-D96))</f>
        <v>481</v>
      </c>
      <c r="F96" s="74">
        <v>1</v>
      </c>
      <c r="G96" s="74"/>
      <c r="H96" s="158">
        <f>IF(AND(H93=1,S93=0),1,IF(COUNT(C96:C100)&gt;2,IF(COUNT(D96:D100)=3,0,1),0))</f>
        <v>0</v>
      </c>
      <c r="I96" s="182"/>
      <c r="J96" s="76"/>
      <c r="K96" s="146">
        <v>1</v>
      </c>
      <c r="L96" s="74">
        <v>28</v>
      </c>
      <c r="M96" s="79"/>
      <c r="N96" s="77">
        <f>IF(L96=0," ",IF(L96=0,0,501-M96))</f>
        <v>501</v>
      </c>
      <c r="O96" s="74">
        <v>1</v>
      </c>
      <c r="P96" s="352"/>
      <c r="Q96" s="364"/>
      <c r="R96" s="365"/>
      <c r="S96" s="163"/>
      <c r="U96" s="75">
        <f>IF(AND(S93=1,H93=0),1,IF(COUNT(L96:L100)&gt;2,IF(COUNT(M96:M100)=3,0,1),0))</f>
        <v>1</v>
      </c>
      <c r="V96" s="200" t="str">
        <f>IF(AND(E96=501,N96=501),"TARKISTA JÄI-SARAKE"," ")</f>
        <v xml:space="preserve"> </v>
      </c>
      <c r="W96" s="202"/>
      <c r="X96" s="202"/>
      <c r="Y96" s="202"/>
      <c r="Z96" s="202"/>
      <c r="AA96" s="202"/>
      <c r="AB96" s="201" t="str">
        <f>IF(AND(C96=0,L96&gt;0),"toinen TIKAT-sarake tyhjä !",IF(AND(C96&gt;0,L96=0),"toinen TIKAT-sarake tyhjä !",""))</f>
        <v/>
      </c>
      <c r="AC96" s="202"/>
      <c r="AD96" s="202"/>
      <c r="AE96" s="202"/>
      <c r="AF96" s="202"/>
      <c r="AG96" s="202"/>
      <c r="AH96" s="202"/>
      <c r="AI96" s="202"/>
      <c r="AJ96" s="61"/>
      <c r="AK96" s="61"/>
      <c r="AL96" s="61"/>
      <c r="AM96" s="202"/>
      <c r="AN96" s="61"/>
      <c r="AO96" s="61"/>
      <c r="AP96" s="61"/>
      <c r="AQ96" s="61"/>
      <c r="AR96" s="61"/>
      <c r="AS96" s="61"/>
      <c r="AT96" s="61"/>
      <c r="AU96" s="61"/>
    </row>
    <row r="97" spans="1:47" s="27" customFormat="1" ht="30.75" customHeight="1" x14ac:dyDescent="0.25">
      <c r="A97" s="508" t="s">
        <v>21</v>
      </c>
      <c r="B97" s="146">
        <v>2</v>
      </c>
      <c r="C97" s="74">
        <v>33</v>
      </c>
      <c r="D97" s="79">
        <v>20</v>
      </c>
      <c r="E97" s="77">
        <f>IF(C97=0," ",IF(C97=0,0,501-D97))</f>
        <v>481</v>
      </c>
      <c r="F97" s="74">
        <v>1</v>
      </c>
      <c r="G97" s="74"/>
      <c r="H97" s="156"/>
      <c r="I97" s="182"/>
      <c r="J97" s="76"/>
      <c r="K97" s="146">
        <v>2</v>
      </c>
      <c r="L97" s="74">
        <v>34</v>
      </c>
      <c r="M97" s="79"/>
      <c r="N97" s="77">
        <f>IF(L97=0," ",IF(L97=0,0,501-M97))</f>
        <v>501</v>
      </c>
      <c r="O97" s="74">
        <v>1</v>
      </c>
      <c r="P97" s="352"/>
      <c r="Q97" s="364"/>
      <c r="R97" s="365"/>
      <c r="S97" s="163"/>
      <c r="U97" s="61"/>
      <c r="V97" s="200" t="str">
        <f>IF(AND(E97=501,N97=501),"TARKISTA JÄI-SARAKE"," ")</f>
        <v xml:space="preserve"> </v>
      </c>
      <c r="W97" s="198"/>
      <c r="X97" s="65"/>
      <c r="Y97" s="61"/>
      <c r="Z97" s="61"/>
      <c r="AA97" s="61"/>
      <c r="AB97" s="201" t="str">
        <f>IF(AND(C97=0,L97&gt;0),"toinen TIKAT-sarake tyhjä !",IF(AND(C97&gt;0,L97=0),"toinen TIKAT-sarake tyhjä !",""))</f>
        <v/>
      </c>
      <c r="AC97" s="61"/>
      <c r="AD97" s="61"/>
      <c r="AH97" s="61"/>
      <c r="AI97" s="61"/>
      <c r="AJ97" s="61"/>
      <c r="AK97" s="61"/>
      <c r="AL97" s="61"/>
      <c r="AM97" s="202"/>
      <c r="AN97" s="61"/>
      <c r="AO97" s="61"/>
      <c r="AP97" s="61"/>
      <c r="AQ97" s="61"/>
      <c r="AR97" s="61"/>
      <c r="AS97" s="61"/>
      <c r="AT97" s="61"/>
      <c r="AU97" s="61"/>
    </row>
    <row r="98" spans="1:47" s="27" customFormat="1" ht="30.75" customHeight="1" x14ac:dyDescent="0.25">
      <c r="A98" s="509"/>
      <c r="B98" s="146">
        <v>3</v>
      </c>
      <c r="C98" s="74">
        <v>21</v>
      </c>
      <c r="D98" s="79">
        <v>5</v>
      </c>
      <c r="E98" s="77">
        <f>IF(C98=0," ",IF(C98=0,0,501-D98))</f>
        <v>496</v>
      </c>
      <c r="F98" s="74">
        <v>2</v>
      </c>
      <c r="G98" s="74"/>
      <c r="H98" s="136"/>
      <c r="I98" s="182"/>
      <c r="J98" s="76"/>
      <c r="K98" s="146">
        <v>3</v>
      </c>
      <c r="L98" s="74">
        <v>20</v>
      </c>
      <c r="M98" s="79"/>
      <c r="N98" s="77">
        <f>IF(L98=0," ",IF(L98=0,0,501-M98))</f>
        <v>501</v>
      </c>
      <c r="O98" s="74">
        <v>3</v>
      </c>
      <c r="P98" s="352"/>
      <c r="Q98" s="364"/>
      <c r="R98" s="365"/>
      <c r="S98" s="163"/>
      <c r="U98" s="61"/>
      <c r="V98" s="200" t="str">
        <f>IF(AND(E98=501,N98=501),"TARKISTA JÄI-SARAKE"," ")</f>
        <v xml:space="preserve"> </v>
      </c>
      <c r="W98" s="198"/>
      <c r="X98" s="65"/>
      <c r="Y98" s="61"/>
      <c r="Z98" s="61"/>
      <c r="AA98" s="61"/>
      <c r="AB98" s="201" t="str">
        <f>IF(AND(C98=0,L98&gt;0),"toinen TIKAT-sarake tyhjä !",IF(AND(C98&gt;0,L98=0),"toinen TIKAT-sarake tyhjä !",""))</f>
        <v/>
      </c>
      <c r="AC98" s="61"/>
      <c r="AD98" s="61"/>
      <c r="AH98" s="61"/>
      <c r="AI98" s="61"/>
      <c r="AJ98" s="61"/>
      <c r="AK98" s="61"/>
      <c r="AL98" s="61"/>
      <c r="AM98" s="202"/>
      <c r="AN98" s="61"/>
      <c r="AO98" s="61"/>
      <c r="AP98" s="61"/>
      <c r="AQ98" s="61"/>
      <c r="AR98" s="61"/>
      <c r="AS98" s="61"/>
      <c r="AT98" s="61"/>
      <c r="AU98" s="61"/>
    </row>
    <row r="99" spans="1:47" s="27" customFormat="1" ht="30.75" customHeight="1" x14ac:dyDescent="0.25">
      <c r="A99" s="509"/>
      <c r="B99" s="146">
        <v>4</v>
      </c>
      <c r="C99" s="74"/>
      <c r="D99" s="79"/>
      <c r="E99" s="77" t="str">
        <f>IF(C99=0," ",IF(C99=0,0,501-D99))</f>
        <v xml:space="preserve"> </v>
      </c>
      <c r="F99" s="74"/>
      <c r="G99" s="74"/>
      <c r="H99" s="136"/>
      <c r="I99" s="182"/>
      <c r="J99" s="76"/>
      <c r="K99" s="146">
        <v>4</v>
      </c>
      <c r="L99" s="74"/>
      <c r="M99" s="79"/>
      <c r="N99" s="77" t="str">
        <f>IF(L99=0," ",IF(L99=0,0,501-M99))</f>
        <v xml:space="preserve"> </v>
      </c>
      <c r="O99" s="74"/>
      <c r="P99" s="352"/>
      <c r="Q99" s="364"/>
      <c r="R99" s="365"/>
      <c r="S99" s="163"/>
      <c r="U99" s="61"/>
      <c r="V99" s="200" t="str">
        <f>IF(AND(E99=501,N99=501),"TARKISTA JÄI-SARAKE"," ")</f>
        <v xml:space="preserve"> </v>
      </c>
      <c r="W99" s="198"/>
      <c r="X99" s="65"/>
      <c r="Y99" s="61"/>
      <c r="Z99" s="61"/>
      <c r="AA99" s="61"/>
      <c r="AB99" s="201" t="str">
        <f>IF(AND(C99=0,L99&gt;0),"toinen TIKAT-sarake tyhjä !",IF(AND(C99&gt;0,L99=0),"toinen TIKAT-sarake tyhjä !",""))</f>
        <v/>
      </c>
      <c r="AC99" s="61"/>
      <c r="AD99" s="61"/>
      <c r="AH99" s="61"/>
      <c r="AI99" s="61"/>
      <c r="AJ99" s="61"/>
      <c r="AK99" s="61"/>
      <c r="AL99" s="61"/>
      <c r="AM99" s="202"/>
      <c r="AN99" s="61"/>
      <c r="AO99" s="61"/>
      <c r="AP99" s="61"/>
      <c r="AQ99" s="61"/>
      <c r="AR99" s="61"/>
      <c r="AS99" s="61"/>
      <c r="AT99" s="61"/>
      <c r="AU99" s="61"/>
    </row>
    <row r="100" spans="1:47" s="27" customFormat="1" ht="30.75" customHeight="1" x14ac:dyDescent="0.25">
      <c r="A100" s="135"/>
      <c r="B100" s="146">
        <v>5</v>
      </c>
      <c r="C100" s="74"/>
      <c r="D100" s="79"/>
      <c r="E100" s="77" t="str">
        <f>IF(C100=0," ",IF(C100=0,0,501-D100))</f>
        <v xml:space="preserve"> </v>
      </c>
      <c r="F100" s="74"/>
      <c r="G100" s="74"/>
      <c r="H100" s="136"/>
      <c r="I100" s="182"/>
      <c r="J100" s="76"/>
      <c r="K100" s="146">
        <v>5</v>
      </c>
      <c r="L100" s="74"/>
      <c r="M100" s="79"/>
      <c r="N100" s="77" t="str">
        <f>IF(L100=0," ",IF(L100=0,0,501-M100))</f>
        <v xml:space="preserve"> </v>
      </c>
      <c r="O100" s="74"/>
      <c r="P100" s="352"/>
      <c r="Q100" s="364"/>
      <c r="R100" s="365"/>
      <c r="S100" s="163"/>
      <c r="U100" s="61"/>
      <c r="V100" s="200" t="str">
        <f>IF(AND(E100=501,N100=501),"TARKISTA JÄI-SARAKE"," ")</f>
        <v xml:space="preserve"> </v>
      </c>
      <c r="W100" s="198"/>
      <c r="X100" s="65"/>
      <c r="Y100" s="61"/>
      <c r="Z100" s="61"/>
      <c r="AA100" s="61"/>
      <c r="AB100" s="201" t="str">
        <f>IF(AND(C100=0,L100&gt;0),"toinen TIKAT-sarake tyhjä !",IF(AND(C100&gt;0,L100=0),"toinen TIKAT-sarake tyhjä !",""))</f>
        <v/>
      </c>
      <c r="AC100" s="61"/>
      <c r="AD100" s="61"/>
      <c r="AH100" s="61"/>
      <c r="AI100" s="61"/>
      <c r="AJ100" s="61"/>
      <c r="AK100" s="61"/>
      <c r="AL100" s="61"/>
      <c r="AM100" s="202"/>
      <c r="AN100" s="61"/>
      <c r="AO100" s="61"/>
      <c r="AP100" s="61"/>
      <c r="AQ100" s="61"/>
      <c r="AR100" s="61"/>
      <c r="AS100" s="61"/>
      <c r="AT100" s="61"/>
      <c r="AU100" s="61"/>
    </row>
    <row r="101" spans="1:47" s="27" customFormat="1" ht="15" customHeight="1" thickBot="1" x14ac:dyDescent="0.25">
      <c r="A101" s="148"/>
      <c r="B101" s="139"/>
      <c r="C101" s="154">
        <f>COUNTIF(C96:C100,"&gt;0")</f>
        <v>3</v>
      </c>
      <c r="D101" s="154">
        <f>COUNTIF(D96:D100,"&gt;0")</f>
        <v>3</v>
      </c>
      <c r="E101" s="149"/>
      <c r="F101" s="149"/>
      <c r="G101" s="149"/>
      <c r="H101" s="152"/>
      <c r="I101" s="150"/>
      <c r="J101" s="151"/>
      <c r="K101" s="139"/>
      <c r="L101" s="154">
        <f>COUNTIF(L96:L100,"&gt;0")</f>
        <v>3</v>
      </c>
      <c r="M101" s="154">
        <f>COUNTIF(M96:M100,"&gt;0")</f>
        <v>0</v>
      </c>
      <c r="N101" s="154"/>
      <c r="O101" s="139"/>
      <c r="P101" s="139"/>
      <c r="Q101" s="366"/>
      <c r="R101" s="365"/>
      <c r="S101" s="163"/>
      <c r="U101" s="61"/>
      <c r="V101" s="202"/>
      <c r="W101" s="61"/>
      <c r="X101" s="61"/>
      <c r="Y101" s="61"/>
      <c r="Z101" s="61"/>
      <c r="AA101" s="61"/>
      <c r="AB101" s="202"/>
      <c r="AC101" s="61"/>
      <c r="AD101" s="61"/>
      <c r="AH101" s="61"/>
      <c r="AI101" s="61"/>
      <c r="AJ101" s="61"/>
      <c r="AK101" s="61"/>
      <c r="AL101" s="61"/>
      <c r="AM101" s="202"/>
      <c r="AN101" s="61"/>
      <c r="AO101" s="61"/>
      <c r="AP101" s="61"/>
      <c r="AQ101" s="61"/>
      <c r="AR101" s="61"/>
      <c r="AS101" s="61"/>
      <c r="AT101" s="61"/>
      <c r="AU101" s="61"/>
    </row>
    <row r="102" spans="1:47" s="61" customFormat="1" ht="36.75" customHeight="1" thickBot="1" x14ac:dyDescent="0.25">
      <c r="A102" s="66"/>
      <c r="B102" s="374" t="s">
        <v>21</v>
      </c>
      <c r="C102" s="63"/>
      <c r="H102" s="27"/>
      <c r="I102" s="68"/>
      <c r="J102" s="68"/>
      <c r="K102" s="68"/>
      <c r="L102" s="68"/>
      <c r="M102" s="68"/>
      <c r="R102" s="60"/>
      <c r="S102" s="163"/>
      <c r="T102" s="27"/>
      <c r="V102" s="202"/>
      <c r="AB102" s="202"/>
      <c r="AM102" s="202"/>
    </row>
    <row r="103" spans="1:47" s="27" customFormat="1" ht="27.75" customHeight="1" x14ac:dyDescent="0.25">
      <c r="A103" s="131"/>
      <c r="B103" s="132" t="s">
        <v>0</v>
      </c>
      <c r="C103" s="489" t="str">
        <f>C24</f>
        <v>Holmström Bjarne</v>
      </c>
      <c r="D103" s="489"/>
      <c r="E103" s="489"/>
      <c r="F103" s="489"/>
      <c r="G103" s="489"/>
      <c r="H103" s="159">
        <f>IF(OR(H104="L",C103=0),0,1)</f>
        <v>1</v>
      </c>
      <c r="I103" s="142"/>
      <c r="J103" s="133"/>
      <c r="K103" s="134" t="s">
        <v>0</v>
      </c>
      <c r="L103" s="497" t="str">
        <f>J24</f>
        <v>Partanen Jarkko</v>
      </c>
      <c r="M103" s="497"/>
      <c r="N103" s="497"/>
      <c r="O103" s="497"/>
      <c r="P103" s="497"/>
      <c r="Q103" s="498"/>
      <c r="R103" s="320"/>
      <c r="S103" s="163">
        <f>IF(OR(I104="L",L103=0),0,1)</f>
        <v>1</v>
      </c>
      <c r="U103" s="61"/>
      <c r="V103" s="202"/>
      <c r="W103" s="61"/>
      <c r="X103" s="61"/>
      <c r="Y103" s="61"/>
      <c r="Z103" s="61"/>
      <c r="AA103" s="61"/>
      <c r="AB103" s="202"/>
      <c r="AC103" s="61"/>
      <c r="AD103" s="61"/>
      <c r="AH103" s="61"/>
      <c r="AI103" s="61"/>
      <c r="AJ103" s="61"/>
      <c r="AK103" s="61"/>
      <c r="AL103" s="61"/>
      <c r="AM103" s="202"/>
      <c r="AN103" s="61"/>
      <c r="AO103" s="61"/>
      <c r="AP103" s="61"/>
      <c r="AQ103" s="61"/>
      <c r="AR103" s="61"/>
      <c r="AS103" s="61"/>
      <c r="AT103" s="61"/>
      <c r="AU103" s="61"/>
    </row>
    <row r="104" spans="1:47" s="27" customFormat="1" x14ac:dyDescent="0.2">
      <c r="A104" s="135"/>
      <c r="B104" s="35"/>
      <c r="C104" s="35"/>
      <c r="D104" s="35"/>
      <c r="E104" s="35"/>
      <c r="F104" s="35"/>
      <c r="G104" s="35"/>
      <c r="H104" s="170"/>
      <c r="I104" s="510"/>
      <c r="J104" s="511"/>
      <c r="K104" s="76"/>
      <c r="L104" s="76"/>
      <c r="M104" s="76"/>
      <c r="N104" s="35"/>
      <c r="O104" s="35"/>
      <c r="P104" s="35"/>
      <c r="Q104" s="361"/>
      <c r="R104" s="189"/>
      <c r="S104" s="163"/>
      <c r="U104" s="61"/>
      <c r="V104" s="202"/>
      <c r="W104" s="61"/>
      <c r="X104" s="61"/>
      <c r="Y104" s="61"/>
      <c r="Z104" s="61"/>
      <c r="AA104" s="61"/>
      <c r="AB104" s="202"/>
      <c r="AC104" s="61"/>
      <c r="AD104" s="61"/>
      <c r="AH104" s="61"/>
      <c r="AI104" s="61"/>
      <c r="AJ104" s="61"/>
      <c r="AK104" s="61"/>
      <c r="AL104" s="61"/>
      <c r="AM104" s="202"/>
      <c r="AN104" s="61"/>
      <c r="AO104" s="61"/>
      <c r="AP104" s="61"/>
      <c r="AQ104" s="61"/>
      <c r="AR104" s="61"/>
      <c r="AS104" s="61"/>
      <c r="AT104" s="61"/>
      <c r="AU104" s="61"/>
    </row>
    <row r="105" spans="1:47" s="27" customFormat="1" x14ac:dyDescent="0.2">
      <c r="A105" s="135"/>
      <c r="B105" s="147" t="s">
        <v>1</v>
      </c>
      <c r="C105" s="72" t="s">
        <v>13</v>
      </c>
      <c r="D105" s="72" t="s">
        <v>14</v>
      </c>
      <c r="E105" s="130" t="s">
        <v>5</v>
      </c>
      <c r="F105" s="72" t="s">
        <v>15</v>
      </c>
      <c r="G105" s="72" t="s">
        <v>16</v>
      </c>
      <c r="H105" s="153"/>
      <c r="I105" s="144"/>
      <c r="J105" s="73"/>
      <c r="K105" s="147" t="s">
        <v>1</v>
      </c>
      <c r="L105" s="72" t="s">
        <v>13</v>
      </c>
      <c r="M105" s="72" t="s">
        <v>14</v>
      </c>
      <c r="N105" s="130" t="s">
        <v>5</v>
      </c>
      <c r="O105" s="318" t="s">
        <v>15</v>
      </c>
      <c r="P105" s="319" t="s">
        <v>16</v>
      </c>
      <c r="Q105" s="362"/>
      <c r="R105" s="363"/>
      <c r="S105" s="163"/>
      <c r="U105" s="61"/>
      <c r="V105" s="202"/>
      <c r="W105" s="61"/>
      <c r="X105" s="61"/>
      <c r="Y105" s="61"/>
      <c r="Z105" s="61"/>
      <c r="AA105" s="61"/>
      <c r="AB105" s="202"/>
      <c r="AC105" s="61"/>
      <c r="AD105" s="61"/>
      <c r="AH105" s="61"/>
      <c r="AI105" s="61"/>
      <c r="AJ105" s="61"/>
      <c r="AK105" s="61"/>
      <c r="AL105" s="61"/>
      <c r="AM105" s="202"/>
      <c r="AN105" s="61"/>
      <c r="AO105" s="61"/>
      <c r="AP105" s="61"/>
      <c r="AQ105" s="61"/>
      <c r="AR105" s="61"/>
      <c r="AS105" s="61"/>
      <c r="AT105" s="61"/>
      <c r="AU105" s="61"/>
    </row>
    <row r="106" spans="1:47" s="27" customFormat="1" ht="30" customHeight="1" x14ac:dyDescent="0.2">
      <c r="A106" s="135"/>
      <c r="B106" s="146">
        <v>1</v>
      </c>
      <c r="C106" s="74">
        <v>30</v>
      </c>
      <c r="D106" s="79"/>
      <c r="E106" s="77">
        <f>IF(C106=0," ",IF(C106=0,0,501-D106))</f>
        <v>501</v>
      </c>
      <c r="F106" s="74"/>
      <c r="G106" s="74"/>
      <c r="H106" s="158">
        <f>IF(AND(H103=1,S103=0),1,IF(COUNT(C106:C110)&gt;2,IF(COUNT(D106:D110)=3,0,1),0))</f>
        <v>0</v>
      </c>
      <c r="I106" s="182"/>
      <c r="J106" s="76"/>
      <c r="K106" s="146">
        <v>1</v>
      </c>
      <c r="L106" s="74">
        <v>30</v>
      </c>
      <c r="M106" s="79">
        <v>99</v>
      </c>
      <c r="N106" s="77">
        <f>IF(L106=0," ",IF(L106=0,0,501-M106))</f>
        <v>402</v>
      </c>
      <c r="O106" s="74"/>
      <c r="P106" s="428"/>
      <c r="Q106" s="364"/>
      <c r="R106" s="365"/>
      <c r="S106" s="163"/>
      <c r="U106" s="75">
        <f>IF(AND(S103=1,H103=0),1,IF(COUNT(L106:L110)&gt;2,IF(COUNT(M106:M110)=3,0,1),0))</f>
        <v>1</v>
      </c>
      <c r="V106" s="200" t="str">
        <f>IF(AND(E106=501,N106=501),"TARKISTA JÄI-SARAKE"," ")</f>
        <v xml:space="preserve"> </v>
      </c>
      <c r="W106" s="202"/>
      <c r="X106" s="202"/>
      <c r="Y106" s="202"/>
      <c r="Z106" s="202"/>
      <c r="AA106" s="202"/>
      <c r="AB106" s="201" t="str">
        <f>IF(AND(C106=0,L106&gt;0),"toinen TIKAT-sarake tyhjä !",IF(AND(C106&gt;0,L106=0),"toinen TIKAT-sarake tyhjä !",""))</f>
        <v/>
      </c>
      <c r="AC106" s="202"/>
      <c r="AD106" s="202"/>
      <c r="AE106" s="202"/>
      <c r="AF106" s="202"/>
      <c r="AG106" s="202"/>
      <c r="AH106" s="202"/>
      <c r="AI106" s="202"/>
      <c r="AJ106" s="61"/>
      <c r="AK106" s="61"/>
      <c r="AL106" s="61"/>
      <c r="AM106" s="202"/>
      <c r="AN106" s="61"/>
      <c r="AO106" s="61"/>
      <c r="AP106" s="61"/>
      <c r="AQ106" s="61"/>
      <c r="AR106" s="61"/>
      <c r="AS106" s="61"/>
      <c r="AT106" s="61"/>
      <c r="AU106" s="61"/>
    </row>
    <row r="107" spans="1:47" s="27" customFormat="1" ht="30" customHeight="1" x14ac:dyDescent="0.25">
      <c r="A107" s="508" t="s">
        <v>22</v>
      </c>
      <c r="B107" s="146">
        <v>2</v>
      </c>
      <c r="C107" s="74">
        <v>33</v>
      </c>
      <c r="D107" s="79">
        <v>72</v>
      </c>
      <c r="E107" s="77">
        <f>IF(C107=0," ",IF(C107=0,0,501-D107))</f>
        <v>429</v>
      </c>
      <c r="F107" s="74"/>
      <c r="G107" s="74"/>
      <c r="H107" s="136"/>
      <c r="I107" s="182"/>
      <c r="J107" s="76"/>
      <c r="K107" s="146">
        <v>2</v>
      </c>
      <c r="L107" s="74">
        <v>33</v>
      </c>
      <c r="M107" s="79"/>
      <c r="N107" s="77">
        <f>IF(L107=0," ",IF(L107=0,0,501-M107))</f>
        <v>501</v>
      </c>
      <c r="O107" s="74">
        <v>1</v>
      </c>
      <c r="P107" s="428"/>
      <c r="Q107" s="364"/>
      <c r="R107" s="365"/>
      <c r="S107" s="163"/>
      <c r="U107" s="61"/>
      <c r="V107" s="200" t="str">
        <f>IF(AND(E107=501,N107=501),"TARKISTA JÄI-SARAKE"," ")</f>
        <v xml:space="preserve"> </v>
      </c>
      <c r="W107" s="198"/>
      <c r="X107" s="65"/>
      <c r="Y107" s="61"/>
      <c r="Z107" s="61"/>
      <c r="AA107" s="61"/>
      <c r="AB107" s="201" t="str">
        <f>IF(AND(C107=0,L107&gt;0),"toinen TIKAT-sarake tyhjä !",IF(AND(C107&gt;0,L107=0),"toinen TIKAT-sarake tyhjä !",""))</f>
        <v/>
      </c>
      <c r="AC107" s="61"/>
      <c r="AD107" s="61"/>
      <c r="AH107" s="61"/>
      <c r="AI107" s="61"/>
      <c r="AJ107" s="61"/>
      <c r="AK107" s="61"/>
      <c r="AL107" s="61"/>
      <c r="AM107" s="202"/>
      <c r="AN107" s="61"/>
      <c r="AO107" s="61"/>
      <c r="AP107" s="61"/>
      <c r="AQ107" s="61"/>
      <c r="AR107" s="61"/>
      <c r="AS107" s="61"/>
      <c r="AT107" s="61"/>
      <c r="AU107" s="61"/>
    </row>
    <row r="108" spans="1:47" s="27" customFormat="1" ht="30" customHeight="1" x14ac:dyDescent="0.25">
      <c r="A108" s="509"/>
      <c r="B108" s="146">
        <v>3</v>
      </c>
      <c r="C108" s="74">
        <v>39</v>
      </c>
      <c r="D108" s="79">
        <v>12</v>
      </c>
      <c r="E108" s="77">
        <f>IF(C108=0," ",IF(C108=0,0,501-D108))</f>
        <v>489</v>
      </c>
      <c r="F108" s="74"/>
      <c r="G108" s="74"/>
      <c r="H108" s="136"/>
      <c r="I108" s="182"/>
      <c r="J108" s="76"/>
      <c r="K108" s="146">
        <v>3</v>
      </c>
      <c r="L108" s="74">
        <v>40</v>
      </c>
      <c r="M108" s="79"/>
      <c r="N108" s="77">
        <f>IF(L108=0," ",IF(L108=0,0,501-M108))</f>
        <v>501</v>
      </c>
      <c r="O108" s="74"/>
      <c r="P108" s="428"/>
      <c r="Q108" s="364"/>
      <c r="R108" s="365"/>
      <c r="S108" s="163"/>
      <c r="U108" s="61"/>
      <c r="V108" s="200" t="str">
        <f>IF(AND(E108=501,N108=501),"TARKISTA JÄI-SARAKE"," ")</f>
        <v xml:space="preserve"> </v>
      </c>
      <c r="W108" s="198"/>
      <c r="X108" s="65"/>
      <c r="Y108" s="61"/>
      <c r="Z108" s="61"/>
      <c r="AA108" s="61"/>
      <c r="AB108" s="201" t="str">
        <f>IF(AND(C108=0,L108&gt;0),"toinen TIKAT-sarake tyhjä !",IF(AND(C108&gt;0,L108=0),"toinen TIKAT-sarake tyhjä !",""))</f>
        <v/>
      </c>
      <c r="AC108" s="61"/>
      <c r="AD108" s="61"/>
      <c r="AH108" s="61"/>
      <c r="AI108" s="61"/>
      <c r="AJ108" s="61"/>
      <c r="AK108" s="61"/>
      <c r="AL108" s="61"/>
      <c r="AM108" s="202"/>
      <c r="AN108" s="61"/>
      <c r="AO108" s="61"/>
      <c r="AP108" s="61"/>
      <c r="AQ108" s="61"/>
      <c r="AR108" s="61"/>
      <c r="AS108" s="61"/>
      <c r="AT108" s="61"/>
      <c r="AU108" s="61"/>
    </row>
    <row r="109" spans="1:47" s="27" customFormat="1" ht="30" customHeight="1" x14ac:dyDescent="0.25">
      <c r="A109" s="509"/>
      <c r="B109" s="146">
        <v>4</v>
      </c>
      <c r="C109" s="74">
        <v>29</v>
      </c>
      <c r="D109" s="79"/>
      <c r="E109" s="77">
        <f>IF(C109=0," ",IF(C109=0,0,501-D109))</f>
        <v>501</v>
      </c>
      <c r="F109" s="74"/>
      <c r="G109" s="74"/>
      <c r="H109" s="136"/>
      <c r="I109" s="182"/>
      <c r="J109" s="76"/>
      <c r="K109" s="146">
        <v>4</v>
      </c>
      <c r="L109" s="74">
        <v>27</v>
      </c>
      <c r="M109" s="79">
        <v>149</v>
      </c>
      <c r="N109" s="77">
        <f>IF(L109=0," ",IF(L109=0,0,501-M109))</f>
        <v>352</v>
      </c>
      <c r="O109" s="74"/>
      <c r="P109" s="428"/>
      <c r="Q109" s="364"/>
      <c r="R109" s="365"/>
      <c r="S109" s="163"/>
      <c r="U109" s="61"/>
      <c r="V109" s="200" t="str">
        <f>IF(AND(E109=501,N109=501),"TARKISTA JÄI-SARAKE"," ")</f>
        <v xml:space="preserve"> </v>
      </c>
      <c r="W109" s="198"/>
      <c r="X109" s="65"/>
      <c r="Y109" s="61"/>
      <c r="Z109" s="61"/>
      <c r="AA109" s="61"/>
      <c r="AB109" s="201" t="str">
        <f>IF(AND(C109=0,L109&gt;0),"toinen TIKAT-sarake tyhjä !",IF(AND(C109&gt;0,L109=0),"toinen TIKAT-sarake tyhjä !",""))</f>
        <v/>
      </c>
      <c r="AC109" s="61"/>
      <c r="AD109" s="61"/>
      <c r="AH109" s="61"/>
      <c r="AI109" s="61"/>
      <c r="AJ109" s="61"/>
      <c r="AK109" s="61"/>
      <c r="AL109" s="61"/>
      <c r="AM109" s="202"/>
      <c r="AN109" s="61"/>
      <c r="AO109" s="61"/>
      <c r="AP109" s="61"/>
      <c r="AQ109" s="61"/>
      <c r="AR109" s="61"/>
      <c r="AS109" s="61"/>
      <c r="AT109" s="61"/>
      <c r="AU109" s="61"/>
    </row>
    <row r="110" spans="1:47" s="27" customFormat="1" ht="30" customHeight="1" x14ac:dyDescent="0.25">
      <c r="A110" s="135"/>
      <c r="B110" s="146">
        <v>5</v>
      </c>
      <c r="C110" s="74">
        <v>33</v>
      </c>
      <c r="D110" s="79">
        <v>40</v>
      </c>
      <c r="E110" s="77">
        <f>IF(C110=0," ",IF(C110=0,0,501-D110))</f>
        <v>461</v>
      </c>
      <c r="F110" s="74"/>
      <c r="G110" s="74"/>
      <c r="H110" s="136"/>
      <c r="I110" s="182"/>
      <c r="J110" s="76"/>
      <c r="K110" s="146">
        <v>5</v>
      </c>
      <c r="L110" s="74">
        <v>34</v>
      </c>
      <c r="M110" s="79"/>
      <c r="N110" s="77">
        <f>IF(L110=0," ",IF(L110=0,0,501-M110))</f>
        <v>501</v>
      </c>
      <c r="O110" s="74">
        <v>2</v>
      </c>
      <c r="P110" s="428"/>
      <c r="Q110" s="364"/>
      <c r="R110" s="365"/>
      <c r="S110" s="163"/>
      <c r="U110" s="61"/>
      <c r="V110" s="200" t="str">
        <f>IF(AND(E110=501,N110=501),"TARKISTA JÄI-SARAKE"," ")</f>
        <v xml:space="preserve"> </v>
      </c>
      <c r="W110" s="198"/>
      <c r="X110" s="65"/>
      <c r="Y110" s="61"/>
      <c r="Z110" s="61"/>
      <c r="AA110" s="61"/>
      <c r="AB110" s="201" t="str">
        <f>IF(AND(C110=0,L110&gt;0),"toinen TIKAT-sarake tyhjä !",IF(AND(C110&gt;0,L110=0),"toinen TIKAT-sarake tyhjä !",""))</f>
        <v/>
      </c>
      <c r="AC110" s="61"/>
      <c r="AD110" s="61"/>
      <c r="AH110" s="61"/>
      <c r="AI110" s="61"/>
      <c r="AJ110" s="61"/>
      <c r="AK110" s="61"/>
      <c r="AL110" s="61"/>
      <c r="AM110" s="202"/>
      <c r="AN110" s="61"/>
      <c r="AO110" s="61"/>
      <c r="AP110" s="61"/>
      <c r="AQ110" s="61"/>
      <c r="AR110" s="61"/>
      <c r="AS110" s="61"/>
      <c r="AT110" s="61"/>
      <c r="AU110" s="61"/>
    </row>
    <row r="111" spans="1:47" s="27" customFormat="1" ht="15" customHeight="1" thickBot="1" x14ac:dyDescent="0.25">
      <c r="A111" s="148"/>
      <c r="B111" s="139"/>
      <c r="C111" s="154">
        <f>COUNTIF(C106:C110,"&gt;0")</f>
        <v>5</v>
      </c>
      <c r="D111" s="154">
        <f>COUNTIF(D106:D110,"&gt;0")</f>
        <v>3</v>
      </c>
      <c r="E111" s="149"/>
      <c r="F111" s="149"/>
      <c r="G111" s="149"/>
      <c r="H111" s="152"/>
      <c r="I111" s="150"/>
      <c r="J111" s="151"/>
      <c r="K111" s="139"/>
      <c r="L111" s="154">
        <f>COUNTIF(L106:L110,"&gt;0")</f>
        <v>5</v>
      </c>
      <c r="M111" s="154">
        <f>COUNTIF(M106:M110,"&gt;0")</f>
        <v>2</v>
      </c>
      <c r="N111" s="149"/>
      <c r="O111" s="139"/>
      <c r="P111" s="139"/>
      <c r="Q111" s="366"/>
      <c r="R111" s="365"/>
      <c r="S111" s="163"/>
      <c r="U111" s="61"/>
      <c r="V111" s="202"/>
      <c r="W111" s="61"/>
      <c r="X111" s="61"/>
      <c r="Y111" s="61"/>
      <c r="Z111" s="61"/>
      <c r="AA111" s="61"/>
      <c r="AB111" s="202"/>
      <c r="AC111" s="61"/>
      <c r="AD111" s="61"/>
      <c r="AH111" s="61"/>
      <c r="AI111" s="61"/>
      <c r="AJ111" s="61"/>
      <c r="AK111" s="61"/>
      <c r="AL111" s="61"/>
      <c r="AM111" s="202"/>
      <c r="AN111" s="61"/>
      <c r="AO111" s="61"/>
      <c r="AP111" s="61"/>
      <c r="AQ111" s="61"/>
      <c r="AR111" s="61"/>
      <c r="AS111" s="61"/>
      <c r="AT111" s="61"/>
      <c r="AU111" s="61"/>
    </row>
    <row r="112" spans="1:47" s="61" customFormat="1" ht="37.5" customHeight="1" thickBot="1" x14ac:dyDescent="0.25">
      <c r="A112" s="66"/>
      <c r="B112" s="374" t="s">
        <v>22</v>
      </c>
      <c r="C112" s="63"/>
      <c r="H112" s="27"/>
      <c r="I112" s="68"/>
      <c r="J112" s="68"/>
      <c r="K112" s="68"/>
      <c r="L112" s="68"/>
      <c r="M112" s="68"/>
      <c r="R112" s="60"/>
      <c r="S112" s="163"/>
      <c r="T112" s="27"/>
      <c r="V112" s="202"/>
      <c r="AB112" s="202"/>
      <c r="AM112" s="202"/>
    </row>
    <row r="113" spans="1:47" s="27" customFormat="1" ht="28.5" customHeight="1" x14ac:dyDescent="0.25">
      <c r="A113" s="131"/>
      <c r="B113" s="132" t="s">
        <v>0</v>
      </c>
      <c r="C113" s="489" t="str">
        <f>C25</f>
        <v>Aho Jarno</v>
      </c>
      <c r="D113" s="489"/>
      <c r="E113" s="489"/>
      <c r="F113" s="489"/>
      <c r="G113" s="489"/>
      <c r="H113" s="159">
        <f>IF(OR(H114="L",C113=0),0,1)</f>
        <v>1</v>
      </c>
      <c r="I113" s="142"/>
      <c r="J113" s="133"/>
      <c r="K113" s="134" t="s">
        <v>0</v>
      </c>
      <c r="L113" s="497" t="str">
        <f>J25</f>
        <v>Mantila Petri</v>
      </c>
      <c r="M113" s="497"/>
      <c r="N113" s="497"/>
      <c r="O113" s="497"/>
      <c r="P113" s="497"/>
      <c r="Q113" s="498"/>
      <c r="R113" s="320"/>
      <c r="S113" s="163">
        <f>IF(OR(I114="L",L113=0),0,1)</f>
        <v>1</v>
      </c>
      <c r="U113" s="61"/>
      <c r="V113" s="202"/>
      <c r="W113" s="61"/>
      <c r="X113" s="61"/>
      <c r="Y113" s="61"/>
      <c r="Z113" s="61"/>
      <c r="AA113" s="61"/>
      <c r="AB113" s="202"/>
      <c r="AC113" s="61"/>
      <c r="AD113" s="61"/>
      <c r="AH113" s="61"/>
      <c r="AI113" s="61"/>
      <c r="AJ113" s="61"/>
      <c r="AK113" s="61"/>
      <c r="AL113" s="61"/>
      <c r="AM113" s="202"/>
      <c r="AN113" s="61"/>
      <c r="AO113" s="61"/>
      <c r="AP113" s="61"/>
      <c r="AQ113" s="61"/>
      <c r="AR113" s="61"/>
      <c r="AS113" s="61"/>
      <c r="AT113" s="61"/>
      <c r="AU113" s="61"/>
    </row>
    <row r="114" spans="1:47" s="27" customFormat="1" x14ac:dyDescent="0.2">
      <c r="A114" s="135"/>
      <c r="B114" s="35"/>
      <c r="C114" s="35"/>
      <c r="D114" s="35"/>
      <c r="E114" s="35"/>
      <c r="F114" s="35"/>
      <c r="G114" s="35"/>
      <c r="H114" s="170"/>
      <c r="I114" s="510"/>
      <c r="J114" s="511"/>
      <c r="K114" s="76"/>
      <c r="L114" s="76"/>
      <c r="M114" s="76"/>
      <c r="N114" s="35"/>
      <c r="O114" s="35"/>
      <c r="P114" s="35"/>
      <c r="Q114" s="361"/>
      <c r="R114" s="189"/>
      <c r="S114" s="163"/>
      <c r="U114" s="61"/>
      <c r="V114" s="202"/>
      <c r="W114" s="61"/>
      <c r="X114" s="61"/>
      <c r="Y114" s="61"/>
      <c r="Z114" s="61"/>
      <c r="AA114" s="61"/>
      <c r="AB114" s="202"/>
      <c r="AC114" s="61"/>
      <c r="AD114" s="61"/>
      <c r="AH114" s="61"/>
      <c r="AI114" s="61"/>
      <c r="AJ114" s="61"/>
      <c r="AK114" s="61"/>
      <c r="AL114" s="61"/>
      <c r="AM114" s="202"/>
      <c r="AN114" s="61"/>
      <c r="AO114" s="61"/>
      <c r="AP114" s="61"/>
      <c r="AQ114" s="61"/>
      <c r="AR114" s="61"/>
      <c r="AS114" s="61"/>
      <c r="AT114" s="61"/>
      <c r="AU114" s="61"/>
    </row>
    <row r="115" spans="1:47" s="27" customFormat="1" x14ac:dyDescent="0.2">
      <c r="A115" s="135"/>
      <c r="B115" s="147" t="s">
        <v>1</v>
      </c>
      <c r="C115" s="72" t="s">
        <v>13</v>
      </c>
      <c r="D115" s="72" t="s">
        <v>14</v>
      </c>
      <c r="E115" s="130" t="s">
        <v>5</v>
      </c>
      <c r="F115" s="72" t="s">
        <v>15</v>
      </c>
      <c r="G115" s="72" t="s">
        <v>16</v>
      </c>
      <c r="H115" s="153"/>
      <c r="I115" s="144"/>
      <c r="J115" s="73"/>
      <c r="K115" s="147" t="s">
        <v>1</v>
      </c>
      <c r="L115" s="72" t="s">
        <v>13</v>
      </c>
      <c r="M115" s="72" t="s">
        <v>14</v>
      </c>
      <c r="N115" s="130" t="s">
        <v>5</v>
      </c>
      <c r="O115" s="318" t="s">
        <v>15</v>
      </c>
      <c r="P115" s="319" t="s">
        <v>16</v>
      </c>
      <c r="Q115" s="362"/>
      <c r="R115" s="363"/>
      <c r="S115" s="163"/>
      <c r="U115" s="61"/>
      <c r="V115" s="202"/>
      <c r="W115" s="61"/>
      <c r="X115" s="61"/>
      <c r="Y115" s="61"/>
      <c r="Z115" s="61"/>
      <c r="AA115" s="61"/>
      <c r="AB115" s="202"/>
      <c r="AC115" s="61"/>
      <c r="AD115" s="61"/>
      <c r="AH115" s="61"/>
      <c r="AI115" s="61"/>
      <c r="AJ115" s="61"/>
      <c r="AK115" s="61"/>
      <c r="AL115" s="61"/>
      <c r="AM115" s="202"/>
      <c r="AN115" s="61"/>
      <c r="AO115" s="61"/>
      <c r="AP115" s="61"/>
      <c r="AQ115" s="61"/>
      <c r="AR115" s="61"/>
      <c r="AS115" s="61"/>
      <c r="AT115" s="61"/>
      <c r="AU115" s="61"/>
    </row>
    <row r="116" spans="1:47" s="27" customFormat="1" ht="30" customHeight="1" x14ac:dyDescent="0.2">
      <c r="A116" s="135"/>
      <c r="B116" s="146">
        <v>1</v>
      </c>
      <c r="C116" s="74">
        <v>36</v>
      </c>
      <c r="D116" s="79"/>
      <c r="E116" s="77">
        <f>IF(C116=0," ",IF(C116=0,0,501-D116))</f>
        <v>501</v>
      </c>
      <c r="F116" s="74"/>
      <c r="G116" s="74"/>
      <c r="H116" s="158">
        <f>IF(AND(H113=1,S113=0),1,IF(COUNT(C116:C120)&gt;2,IF(COUNT(D116:D120)=3,0,1),0))</f>
        <v>1</v>
      </c>
      <c r="I116" s="182"/>
      <c r="J116" s="76"/>
      <c r="K116" s="146">
        <v>1</v>
      </c>
      <c r="L116" s="74">
        <v>33</v>
      </c>
      <c r="M116" s="79">
        <v>4</v>
      </c>
      <c r="N116" s="77">
        <f>IF(L116=0," ",IF(L116=0,0,501-M116))</f>
        <v>497</v>
      </c>
      <c r="O116" s="427"/>
      <c r="P116" s="428"/>
      <c r="Q116" s="364"/>
      <c r="R116" s="365"/>
      <c r="S116" s="163"/>
      <c r="U116" s="75">
        <f>IF(AND(S113=1,H113=0),1,IF(COUNT(L116:L120)&gt;2,IF(COUNT(M116:M120)=3,0,1),0))</f>
        <v>0</v>
      </c>
      <c r="V116" s="200" t="str">
        <f>IF(AND(E116=501,N116=501),"TARKISTA JÄI-SARAKE"," ")</f>
        <v xml:space="preserve"> </v>
      </c>
      <c r="W116" s="202"/>
      <c r="X116" s="202"/>
      <c r="Y116" s="202"/>
      <c r="Z116" s="202"/>
      <c r="AA116" s="202"/>
      <c r="AB116" s="201" t="str">
        <f>IF(AND(C116=0,L116&gt;0),"toinen TIKAT-sarake tyhjä !",IF(AND(C116&gt;0,L116=0),"toinen TIKAT-sarake tyhjä !",""))</f>
        <v/>
      </c>
      <c r="AC116" s="202"/>
      <c r="AD116" s="202"/>
      <c r="AE116" s="202"/>
      <c r="AF116" s="202"/>
      <c r="AH116" s="61"/>
      <c r="AI116" s="61"/>
      <c r="AJ116" s="61"/>
      <c r="AK116" s="61"/>
      <c r="AL116" s="61"/>
      <c r="AM116" s="202"/>
      <c r="AN116" s="61"/>
      <c r="AO116" s="61"/>
      <c r="AP116" s="61"/>
      <c r="AQ116" s="61"/>
      <c r="AR116" s="61"/>
      <c r="AS116" s="61"/>
      <c r="AT116" s="61"/>
      <c r="AU116" s="61"/>
    </row>
    <row r="117" spans="1:47" s="27" customFormat="1" ht="30" customHeight="1" x14ac:dyDescent="0.25">
      <c r="A117" s="508" t="s">
        <v>23</v>
      </c>
      <c r="B117" s="146">
        <v>2</v>
      </c>
      <c r="C117" s="74">
        <v>33</v>
      </c>
      <c r="D117" s="79"/>
      <c r="E117" s="77">
        <f>IF(C117=0," ",IF(C117=0,0,501-D117))</f>
        <v>501</v>
      </c>
      <c r="F117" s="74"/>
      <c r="G117" s="74"/>
      <c r="H117" s="136"/>
      <c r="I117" s="182"/>
      <c r="J117" s="76"/>
      <c r="K117" s="146">
        <v>2</v>
      </c>
      <c r="L117" s="74">
        <v>33</v>
      </c>
      <c r="M117" s="79">
        <v>24</v>
      </c>
      <c r="N117" s="77">
        <f>IF(L117=0," ",IF(L117=0,0,501-M117))</f>
        <v>477</v>
      </c>
      <c r="O117" s="427"/>
      <c r="P117" s="428"/>
      <c r="Q117" s="364"/>
      <c r="R117" s="365"/>
      <c r="S117" s="163"/>
      <c r="U117" s="61"/>
      <c r="V117" s="200" t="str">
        <f>IF(AND(E117=501,N117=501),"TARKISTA JÄI-SARAKE"," ")</f>
        <v xml:space="preserve"> </v>
      </c>
      <c r="W117" s="198"/>
      <c r="X117" s="65"/>
      <c r="Y117" s="61"/>
      <c r="Z117" s="61"/>
      <c r="AA117" s="61"/>
      <c r="AB117" s="201" t="str">
        <f>IF(AND(C117=0,L117&gt;0),"toinen TIKAT-sarake tyhjä !",IF(AND(C117&gt;0,L117=0),"toinen TIKAT-sarake tyhjä !",""))</f>
        <v/>
      </c>
      <c r="AC117" s="61"/>
      <c r="AD117" s="61"/>
      <c r="AH117" s="61"/>
      <c r="AI117" s="61"/>
      <c r="AJ117" s="61"/>
      <c r="AK117" s="61"/>
      <c r="AL117" s="61"/>
      <c r="AM117" s="202"/>
      <c r="AN117" s="61"/>
      <c r="AO117" s="61"/>
      <c r="AP117" s="61"/>
      <c r="AQ117" s="61"/>
      <c r="AR117" s="61"/>
      <c r="AS117" s="61"/>
      <c r="AT117" s="61"/>
      <c r="AU117" s="61"/>
    </row>
    <row r="118" spans="1:47" s="27" customFormat="1" ht="30" customHeight="1" x14ac:dyDescent="0.25">
      <c r="A118" s="509"/>
      <c r="B118" s="146">
        <v>3</v>
      </c>
      <c r="C118" s="74">
        <v>41</v>
      </c>
      <c r="D118" s="79"/>
      <c r="E118" s="77">
        <f>IF(C118=0," ",IF(C118=0,0,501-D118))</f>
        <v>501</v>
      </c>
      <c r="F118" s="74">
        <v>1</v>
      </c>
      <c r="G118" s="74"/>
      <c r="H118" s="136"/>
      <c r="I118" s="182"/>
      <c r="J118" s="76"/>
      <c r="K118" s="146">
        <v>3</v>
      </c>
      <c r="L118" s="74">
        <v>39</v>
      </c>
      <c r="M118" s="79">
        <v>5</v>
      </c>
      <c r="N118" s="77">
        <f>IF(L118=0," ",IF(L118=0,0,501-M118))</f>
        <v>496</v>
      </c>
      <c r="O118" s="427"/>
      <c r="P118" s="428"/>
      <c r="Q118" s="364"/>
      <c r="R118" s="365"/>
      <c r="S118" s="163"/>
      <c r="U118" s="61"/>
      <c r="V118" s="200" t="str">
        <f>IF(AND(E118=501,N118=501),"TARKISTA JÄI-SARAKE"," ")</f>
        <v xml:space="preserve"> </v>
      </c>
      <c r="W118" s="198"/>
      <c r="X118" s="65"/>
      <c r="Y118" s="61"/>
      <c r="Z118" s="61"/>
      <c r="AA118" s="61"/>
      <c r="AB118" s="201" t="str">
        <f>IF(AND(C118=0,L118&gt;0),"toinen TIKAT-sarake tyhjä !",IF(AND(C118&gt;0,L118=0),"toinen TIKAT-sarake tyhjä !",""))</f>
        <v/>
      </c>
      <c r="AC118" s="61"/>
      <c r="AD118" s="61"/>
      <c r="AH118" s="61"/>
      <c r="AI118" s="61"/>
      <c r="AJ118" s="61"/>
      <c r="AK118" s="61"/>
      <c r="AL118" s="61"/>
      <c r="AM118" s="202"/>
      <c r="AN118" s="61"/>
      <c r="AO118" s="61"/>
      <c r="AP118" s="61"/>
      <c r="AQ118" s="61"/>
      <c r="AR118" s="61"/>
      <c r="AS118" s="61"/>
      <c r="AT118" s="61"/>
      <c r="AU118" s="61"/>
    </row>
    <row r="119" spans="1:47" s="27" customFormat="1" ht="30" customHeight="1" x14ac:dyDescent="0.25">
      <c r="A119" s="509"/>
      <c r="B119" s="146">
        <v>4</v>
      </c>
      <c r="C119" s="74"/>
      <c r="D119" s="79"/>
      <c r="E119" s="77" t="str">
        <f>IF(C119=0," ",IF(C119=0,0,501-D119))</f>
        <v xml:space="preserve"> </v>
      </c>
      <c r="F119" s="74"/>
      <c r="G119" s="74"/>
      <c r="H119" s="136"/>
      <c r="I119" s="182"/>
      <c r="J119" s="76"/>
      <c r="K119" s="146">
        <v>4</v>
      </c>
      <c r="L119" s="74"/>
      <c r="M119" s="79"/>
      <c r="N119" s="77" t="str">
        <f>IF(L119=0," ",IF(L119=0,0,501-M119))</f>
        <v xml:space="preserve"> </v>
      </c>
      <c r="O119" s="427"/>
      <c r="P119" s="428"/>
      <c r="Q119" s="364"/>
      <c r="R119" s="365"/>
      <c r="S119" s="163"/>
      <c r="U119" s="61"/>
      <c r="V119" s="200" t="str">
        <f>IF(AND(E119=501,N119=501),"TARKISTA JÄI-SARAKE"," ")</f>
        <v xml:space="preserve"> </v>
      </c>
      <c r="W119" s="198"/>
      <c r="X119" s="65"/>
      <c r="Y119" s="61"/>
      <c r="Z119" s="61"/>
      <c r="AA119" s="61"/>
      <c r="AB119" s="201" t="str">
        <f>IF(AND(C119=0,L119&gt;0),"toinen TIKAT-sarake tyhjä !",IF(AND(C119&gt;0,L119=0),"toinen TIKAT-sarake tyhjä !",""))</f>
        <v/>
      </c>
      <c r="AC119" s="61"/>
      <c r="AD119" s="61"/>
      <c r="AH119" s="61"/>
      <c r="AI119" s="61"/>
      <c r="AJ119" s="61"/>
      <c r="AK119" s="61"/>
      <c r="AL119" s="61"/>
      <c r="AM119" s="202"/>
      <c r="AN119" s="61"/>
      <c r="AO119" s="61"/>
      <c r="AP119" s="61"/>
      <c r="AQ119" s="61"/>
      <c r="AR119" s="61"/>
      <c r="AS119" s="61"/>
      <c r="AT119" s="61"/>
      <c r="AU119" s="61"/>
    </row>
    <row r="120" spans="1:47" s="27" customFormat="1" ht="30" customHeight="1" x14ac:dyDescent="0.25">
      <c r="A120" s="135"/>
      <c r="B120" s="146">
        <v>5</v>
      </c>
      <c r="C120" s="74"/>
      <c r="D120" s="79"/>
      <c r="E120" s="77" t="str">
        <f>IF(C120=0," ",IF(C120=0,0,501-D120))</f>
        <v xml:space="preserve"> </v>
      </c>
      <c r="F120" s="74"/>
      <c r="G120" s="74"/>
      <c r="H120" s="136"/>
      <c r="I120" s="182"/>
      <c r="J120" s="76"/>
      <c r="K120" s="146">
        <v>5</v>
      </c>
      <c r="L120" s="74"/>
      <c r="M120" s="79"/>
      <c r="N120" s="77" t="str">
        <f>IF(L120=0," ",IF(L120=0,0,501-M120))</f>
        <v xml:space="preserve"> </v>
      </c>
      <c r="O120" s="427"/>
      <c r="P120" s="428"/>
      <c r="Q120" s="364"/>
      <c r="R120" s="365"/>
      <c r="S120" s="163"/>
      <c r="U120" s="61"/>
      <c r="V120" s="200" t="str">
        <f>IF(AND(E120=501,N120=501),"TARKISTA JÄI-SARAKE"," ")</f>
        <v xml:space="preserve"> </v>
      </c>
      <c r="W120" s="198"/>
      <c r="X120" s="65"/>
      <c r="Y120" s="61"/>
      <c r="Z120" s="61"/>
      <c r="AA120" s="61"/>
      <c r="AB120" s="201" t="str">
        <f>IF(AND(C120=0,L120&gt;0),"toinen TIKAT-sarake tyhjä !",IF(AND(C120&gt;0,L120=0),"toinen TIKAT-sarake tyhjä !",""))</f>
        <v/>
      </c>
      <c r="AC120" s="61"/>
      <c r="AD120" s="61"/>
      <c r="AH120" s="61"/>
      <c r="AI120" s="61"/>
      <c r="AJ120" s="61"/>
      <c r="AK120" s="61"/>
      <c r="AL120" s="61"/>
      <c r="AM120" s="202"/>
      <c r="AN120" s="61"/>
      <c r="AO120" s="61"/>
      <c r="AP120" s="61"/>
      <c r="AQ120" s="61"/>
      <c r="AR120" s="61"/>
      <c r="AS120" s="61"/>
      <c r="AT120" s="61"/>
      <c r="AU120" s="61"/>
    </row>
    <row r="121" spans="1:47" s="27" customFormat="1" ht="20.25" customHeight="1" thickBot="1" x14ac:dyDescent="0.25">
      <c r="A121" s="369" t="s">
        <v>23</v>
      </c>
      <c r="B121" s="375"/>
      <c r="C121" s="373">
        <f>COUNTIF(C116:C120,"&gt;0")</f>
        <v>3</v>
      </c>
      <c r="D121" s="154">
        <f>COUNTIF(D116:D120,"&gt;0")</f>
        <v>0</v>
      </c>
      <c r="E121" s="139"/>
      <c r="F121" s="139"/>
      <c r="G121" s="139"/>
      <c r="H121" s="152"/>
      <c r="I121" s="150"/>
      <c r="J121" s="151"/>
      <c r="K121" s="151"/>
      <c r="L121" s="154">
        <f>COUNTIF(L116:L120,"&gt;0")</f>
        <v>3</v>
      </c>
      <c r="M121" s="154">
        <f>COUNTIF(M116:M120,"&gt;0")</f>
        <v>3</v>
      </c>
      <c r="N121" s="139"/>
      <c r="O121" s="139"/>
      <c r="P121" s="139"/>
      <c r="Q121" s="366"/>
      <c r="R121" s="189"/>
      <c r="S121" s="163"/>
      <c r="U121" s="61"/>
      <c r="V121" s="202"/>
      <c r="W121" s="61"/>
      <c r="X121" s="61"/>
      <c r="Y121" s="61"/>
      <c r="Z121" s="61"/>
      <c r="AA121" s="61"/>
      <c r="AB121" s="202"/>
      <c r="AC121" s="61"/>
      <c r="AD121" s="61"/>
      <c r="AH121" s="61"/>
      <c r="AI121" s="61"/>
      <c r="AJ121" s="61"/>
      <c r="AK121" s="61"/>
      <c r="AL121" s="61"/>
      <c r="AM121" s="202"/>
      <c r="AN121" s="61"/>
      <c r="AO121" s="61"/>
      <c r="AP121" s="61"/>
      <c r="AQ121" s="61"/>
      <c r="AR121" s="61"/>
      <c r="AS121" s="61"/>
      <c r="AT121" s="61"/>
      <c r="AU121" s="61"/>
    </row>
    <row r="122" spans="1:47" s="61" customFormat="1" ht="36.75" customHeight="1" thickBot="1" x14ac:dyDescent="0.25">
      <c r="A122" s="60"/>
      <c r="H122" s="27"/>
      <c r="I122" s="68"/>
      <c r="J122" s="68"/>
      <c r="K122" s="68"/>
      <c r="L122" s="68"/>
      <c r="M122" s="68"/>
      <c r="R122" s="60"/>
      <c r="S122" s="163"/>
      <c r="T122" s="27"/>
      <c r="V122" s="202"/>
      <c r="AB122" s="202"/>
      <c r="AM122" s="202"/>
    </row>
    <row r="123" spans="1:47" s="27" customFormat="1" ht="29.25" customHeight="1" x14ac:dyDescent="0.25">
      <c r="A123" s="131"/>
      <c r="B123" s="132" t="s">
        <v>0</v>
      </c>
      <c r="C123" s="489" t="str">
        <f>C26</f>
        <v>Nyholm Mikael</v>
      </c>
      <c r="D123" s="489"/>
      <c r="E123" s="489"/>
      <c r="F123" s="489"/>
      <c r="G123" s="489"/>
      <c r="H123" s="159">
        <f>IF(OR(H124="L",C123=0),0,1)</f>
        <v>1</v>
      </c>
      <c r="I123" s="142"/>
      <c r="J123" s="133"/>
      <c r="K123" s="134" t="s">
        <v>0</v>
      </c>
      <c r="L123" s="497" t="str">
        <f>J26</f>
        <v>Lokkinen Marko</v>
      </c>
      <c r="M123" s="497"/>
      <c r="N123" s="497"/>
      <c r="O123" s="497"/>
      <c r="P123" s="497"/>
      <c r="Q123" s="498"/>
      <c r="R123" s="322"/>
      <c r="S123" s="163">
        <f>IF(OR(I124="L",L123=0),0,1)</f>
        <v>1</v>
      </c>
      <c r="U123" s="61"/>
      <c r="V123" s="202"/>
      <c r="W123" s="61"/>
      <c r="X123" s="61"/>
      <c r="Y123" s="61"/>
      <c r="Z123" s="61"/>
      <c r="AA123" s="61"/>
      <c r="AB123" s="202"/>
      <c r="AC123" s="61"/>
      <c r="AD123" s="61"/>
      <c r="AH123" s="61"/>
      <c r="AI123" s="61"/>
      <c r="AJ123" s="61"/>
      <c r="AK123" s="61"/>
      <c r="AL123" s="61"/>
      <c r="AM123" s="202"/>
      <c r="AN123" s="61"/>
      <c r="AO123" s="61"/>
      <c r="AP123" s="61"/>
      <c r="AQ123" s="61"/>
      <c r="AR123" s="61"/>
      <c r="AS123" s="61"/>
      <c r="AT123" s="61"/>
      <c r="AU123" s="61"/>
    </row>
    <row r="124" spans="1:47" s="27" customFormat="1" x14ac:dyDescent="0.2">
      <c r="A124" s="135"/>
      <c r="B124" s="35"/>
      <c r="C124" s="35"/>
      <c r="D124" s="35"/>
      <c r="E124" s="35"/>
      <c r="F124" s="35"/>
      <c r="G124" s="35"/>
      <c r="H124" s="170"/>
      <c r="I124" s="510"/>
      <c r="J124" s="511"/>
      <c r="K124" s="76"/>
      <c r="L124" s="76"/>
      <c r="M124" s="76"/>
      <c r="N124" s="35"/>
      <c r="O124" s="35"/>
      <c r="P124" s="35"/>
      <c r="Q124" s="361"/>
      <c r="R124" s="189"/>
      <c r="S124" s="163"/>
      <c r="U124" s="61"/>
      <c r="V124" s="202"/>
      <c r="W124" s="61"/>
      <c r="X124" s="61"/>
      <c r="Y124" s="61"/>
      <c r="Z124" s="61"/>
      <c r="AA124" s="61"/>
      <c r="AB124" s="202"/>
      <c r="AC124" s="61"/>
      <c r="AD124" s="61"/>
      <c r="AH124" s="61"/>
      <c r="AI124" s="61"/>
      <c r="AJ124" s="61"/>
      <c r="AK124" s="61"/>
      <c r="AL124" s="61"/>
      <c r="AM124" s="202"/>
      <c r="AN124" s="61"/>
      <c r="AO124" s="61"/>
      <c r="AP124" s="61"/>
      <c r="AQ124" s="61"/>
      <c r="AR124" s="61"/>
      <c r="AS124" s="61"/>
      <c r="AT124" s="61"/>
      <c r="AU124" s="61"/>
    </row>
    <row r="125" spans="1:47" s="27" customFormat="1" x14ac:dyDescent="0.2">
      <c r="A125" s="135"/>
      <c r="B125" s="147" t="s">
        <v>1</v>
      </c>
      <c r="C125" s="72" t="s">
        <v>13</v>
      </c>
      <c r="D125" s="72" t="s">
        <v>14</v>
      </c>
      <c r="E125" s="130" t="s">
        <v>5</v>
      </c>
      <c r="F125" s="72" t="s">
        <v>15</v>
      </c>
      <c r="G125" s="72" t="s">
        <v>16</v>
      </c>
      <c r="H125" s="157"/>
      <c r="I125" s="144"/>
      <c r="J125" s="73"/>
      <c r="K125" s="147" t="s">
        <v>1</v>
      </c>
      <c r="L125" s="72" t="s">
        <v>13</v>
      </c>
      <c r="M125" s="72" t="s">
        <v>14</v>
      </c>
      <c r="N125" s="130" t="s">
        <v>5</v>
      </c>
      <c r="O125" s="318" t="s">
        <v>15</v>
      </c>
      <c r="P125" s="319" t="s">
        <v>16</v>
      </c>
      <c r="Q125" s="362"/>
      <c r="R125" s="363"/>
      <c r="S125" s="163"/>
      <c r="U125" s="61"/>
      <c r="V125" s="202"/>
      <c r="W125" s="61"/>
      <c r="X125" s="61"/>
      <c r="Y125" s="61"/>
      <c r="Z125" s="61"/>
      <c r="AA125" s="61"/>
      <c r="AB125" s="202"/>
      <c r="AC125" s="61"/>
      <c r="AD125" s="61"/>
      <c r="AH125" s="61"/>
      <c r="AI125" s="61"/>
      <c r="AJ125" s="61"/>
      <c r="AK125" s="61"/>
      <c r="AL125" s="61"/>
      <c r="AM125" s="202"/>
      <c r="AN125" s="61"/>
      <c r="AO125" s="61"/>
      <c r="AP125" s="61"/>
      <c r="AQ125" s="61"/>
      <c r="AR125" s="61"/>
      <c r="AS125" s="61"/>
      <c r="AT125" s="61"/>
      <c r="AU125" s="61"/>
    </row>
    <row r="126" spans="1:47" s="27" customFormat="1" ht="30" customHeight="1" x14ac:dyDescent="0.2">
      <c r="A126" s="135"/>
      <c r="B126" s="146">
        <v>1</v>
      </c>
      <c r="C126" s="74">
        <v>39</v>
      </c>
      <c r="D126" s="79"/>
      <c r="E126" s="77">
        <f>IF(C126=0," ",IF(C126=0,0,501-D126))</f>
        <v>501</v>
      </c>
      <c r="F126" s="74"/>
      <c r="G126" s="74"/>
      <c r="H126" s="158">
        <f>IF(AND(H123=1,S123=0),1,IF(COUNT(C126:C130)&gt;2,IF(COUNT(D126:D130)=3,0,1),0))</f>
        <v>0</v>
      </c>
      <c r="I126" s="182"/>
      <c r="J126" s="76"/>
      <c r="K126" s="146">
        <v>1</v>
      </c>
      <c r="L126" s="74">
        <v>39</v>
      </c>
      <c r="M126" s="79">
        <v>14</v>
      </c>
      <c r="N126" s="77">
        <f>IF(L126=0," ",IF(L126=0,0,501-M126))</f>
        <v>487</v>
      </c>
      <c r="O126" s="74"/>
      <c r="P126" s="428"/>
      <c r="Q126" s="364"/>
      <c r="R126" s="368"/>
      <c r="S126" s="163"/>
      <c r="U126" s="75">
        <f>IF(AND(S123=1,H123=0),1,IF(COUNT(L126:L130)&gt;2,IF(COUNT(M126:M130)=3,0,1),0))</f>
        <v>1</v>
      </c>
      <c r="V126" s="200" t="str">
        <f>IF(AND(E126=501,N126=501),"TARKISTA JÄI-SARAKE"," ")</f>
        <v xml:space="preserve"> </v>
      </c>
      <c r="W126" s="202"/>
      <c r="X126" s="202"/>
      <c r="Y126" s="202"/>
      <c r="Z126" s="202"/>
      <c r="AA126" s="202"/>
      <c r="AB126" s="201" t="str">
        <f>IF(AND(C126=0,L126&gt;0),"toinen TIKAT-sarake tyhjä !",IF(AND(C126&gt;0,L126=0),"toinen TIKAT-sarake tyhjä !",""))</f>
        <v/>
      </c>
      <c r="AC126" s="202"/>
      <c r="AD126" s="202"/>
      <c r="AE126" s="202"/>
      <c r="AH126" s="61"/>
      <c r="AI126" s="61"/>
      <c r="AJ126" s="61"/>
      <c r="AK126" s="61"/>
      <c r="AL126" s="61"/>
      <c r="AM126" s="202"/>
      <c r="AN126" s="61"/>
      <c r="AO126" s="61"/>
      <c r="AP126" s="61"/>
      <c r="AQ126" s="61"/>
      <c r="AR126" s="61"/>
      <c r="AS126" s="61"/>
      <c r="AT126" s="61"/>
      <c r="AU126" s="61"/>
    </row>
    <row r="127" spans="1:47" s="27" customFormat="1" ht="30" customHeight="1" x14ac:dyDescent="0.25">
      <c r="A127" s="508" t="s">
        <v>24</v>
      </c>
      <c r="B127" s="146">
        <v>2</v>
      </c>
      <c r="C127" s="74">
        <v>28</v>
      </c>
      <c r="D127" s="79"/>
      <c r="E127" s="77">
        <f>IF(C127=0," ",IF(C127=0,0,501-D127))</f>
        <v>501</v>
      </c>
      <c r="F127" s="74">
        <v>3</v>
      </c>
      <c r="G127" s="74"/>
      <c r="H127" s="136"/>
      <c r="I127" s="182"/>
      <c r="J127" s="76"/>
      <c r="K127" s="146">
        <v>2</v>
      </c>
      <c r="L127" s="74">
        <v>27</v>
      </c>
      <c r="M127" s="79">
        <v>14</v>
      </c>
      <c r="N127" s="77">
        <f>IF(L127=0," ",IF(L127=0,0,501-M127))</f>
        <v>487</v>
      </c>
      <c r="O127" s="74"/>
      <c r="P127" s="428"/>
      <c r="Q127" s="364"/>
      <c r="R127" s="368"/>
      <c r="S127" s="163"/>
      <c r="U127" s="61"/>
      <c r="V127" s="200" t="str">
        <f>IF(AND(E127=501,N127=501),"TARKISTA JÄI-SARAKE"," ")</f>
        <v xml:space="preserve"> </v>
      </c>
      <c r="W127" s="198"/>
      <c r="X127" s="65"/>
      <c r="Y127" s="61"/>
      <c r="Z127" s="61"/>
      <c r="AA127" s="61"/>
      <c r="AB127" s="201" t="str">
        <f>IF(AND(C127=0,L127&gt;0),"toinen TIKAT-sarake tyhjä !",IF(AND(C127&gt;0,L127=0),"toinen TIKAT-sarake tyhjä !",""))</f>
        <v/>
      </c>
      <c r="AC127" s="61"/>
      <c r="AD127" s="61"/>
      <c r="AH127" s="61"/>
      <c r="AI127" s="61"/>
      <c r="AJ127" s="61"/>
      <c r="AK127" s="61"/>
      <c r="AL127" s="61"/>
      <c r="AM127" s="202"/>
      <c r="AN127" s="61"/>
      <c r="AO127" s="61"/>
      <c r="AP127" s="61"/>
      <c r="AQ127" s="61"/>
      <c r="AR127" s="61"/>
      <c r="AS127" s="61"/>
      <c r="AT127" s="61"/>
      <c r="AU127" s="61"/>
    </row>
    <row r="128" spans="1:47" s="27" customFormat="1" ht="30" customHeight="1" x14ac:dyDescent="0.25">
      <c r="A128" s="509"/>
      <c r="B128" s="146">
        <v>3</v>
      </c>
      <c r="C128" s="74">
        <v>24</v>
      </c>
      <c r="D128" s="79">
        <v>118</v>
      </c>
      <c r="E128" s="77">
        <f>IF(C128=0," ",IF(C128=0,0,501-D128))</f>
        <v>383</v>
      </c>
      <c r="F128" s="74"/>
      <c r="G128" s="74"/>
      <c r="H128" s="136"/>
      <c r="I128" s="182"/>
      <c r="J128" s="76"/>
      <c r="K128" s="146">
        <v>3</v>
      </c>
      <c r="L128" s="74">
        <v>26</v>
      </c>
      <c r="M128" s="79"/>
      <c r="N128" s="77">
        <f>IF(L128=0," ",IF(L128=0,0,501-M128))</f>
        <v>501</v>
      </c>
      <c r="O128" s="74">
        <v>1</v>
      </c>
      <c r="P128" s="428"/>
      <c r="Q128" s="364"/>
      <c r="R128" s="368"/>
      <c r="S128" s="163"/>
      <c r="U128" s="61"/>
      <c r="V128" s="200" t="str">
        <f>IF(AND(E128=501,N128=501),"TARKISTA JÄI-SARAKE"," ")</f>
        <v xml:space="preserve"> </v>
      </c>
      <c r="W128" s="198"/>
      <c r="X128" s="65"/>
      <c r="Y128" s="61"/>
      <c r="Z128" s="61"/>
      <c r="AA128" s="61"/>
      <c r="AB128" s="201" t="str">
        <f>IF(AND(C128=0,L128&gt;0),"toinen TIKAT-sarake tyhjä !",IF(AND(C128&gt;0,L128=0),"toinen TIKAT-sarake tyhjä !",""))</f>
        <v/>
      </c>
      <c r="AC128" s="61"/>
      <c r="AD128" s="61"/>
      <c r="AH128" s="61"/>
      <c r="AI128" s="61"/>
      <c r="AJ128" s="61"/>
      <c r="AK128" s="61"/>
      <c r="AL128" s="61"/>
      <c r="AM128" s="202"/>
      <c r="AN128" s="61"/>
      <c r="AO128" s="61"/>
      <c r="AP128" s="61"/>
      <c r="AQ128" s="61"/>
      <c r="AR128" s="61"/>
      <c r="AS128" s="61"/>
      <c r="AT128" s="61"/>
      <c r="AU128" s="61"/>
    </row>
    <row r="129" spans="1:47" s="27" customFormat="1" ht="30" customHeight="1" x14ac:dyDescent="0.25">
      <c r="A129" s="509"/>
      <c r="B129" s="146">
        <v>4</v>
      </c>
      <c r="C129" s="74">
        <v>24</v>
      </c>
      <c r="D129" s="79">
        <v>225</v>
      </c>
      <c r="E129" s="77">
        <f>IF(C129=0," ",IF(C129=0,0,501-D129))</f>
        <v>276</v>
      </c>
      <c r="F129" s="74"/>
      <c r="G129" s="74"/>
      <c r="H129" s="136"/>
      <c r="I129" s="182"/>
      <c r="J129" s="76"/>
      <c r="K129" s="146">
        <v>4</v>
      </c>
      <c r="L129" s="79">
        <v>23</v>
      </c>
      <c r="M129" s="79"/>
      <c r="N129" s="77">
        <f>IF(L129=0," ",IF(L129=0,0,501-M129))</f>
        <v>501</v>
      </c>
      <c r="O129" s="74">
        <v>1</v>
      </c>
      <c r="P129" s="428"/>
      <c r="Q129" s="364"/>
      <c r="R129" s="368"/>
      <c r="S129" s="163"/>
      <c r="U129" s="61"/>
      <c r="V129" s="200" t="str">
        <f>IF(AND(E129=501,N129=501),"TARKISTA JÄI-SARAKE"," ")</f>
        <v xml:space="preserve"> </v>
      </c>
      <c r="W129" s="198"/>
      <c r="X129" s="65"/>
      <c r="Y129" s="61"/>
      <c r="Z129" s="61"/>
      <c r="AA129" s="61"/>
      <c r="AB129" s="201" t="str">
        <f>IF(AND(C129=0,L129&gt;0),"toinen TIKAT-sarake tyhjä !",IF(AND(C129&gt;0,L129=0),"toinen TIKAT-sarake tyhjä !",""))</f>
        <v/>
      </c>
      <c r="AC129" s="61"/>
      <c r="AD129" s="61"/>
      <c r="AH129" s="61"/>
      <c r="AI129" s="61"/>
      <c r="AJ129" s="61"/>
      <c r="AK129" s="61"/>
      <c r="AL129" s="61"/>
      <c r="AM129" s="202"/>
      <c r="AN129" s="61"/>
      <c r="AO129" s="61"/>
      <c r="AP129" s="61"/>
      <c r="AQ129" s="61"/>
      <c r="AR129" s="61"/>
      <c r="AS129" s="61"/>
      <c r="AT129" s="61"/>
      <c r="AU129" s="61"/>
    </row>
    <row r="130" spans="1:47" s="27" customFormat="1" ht="30" customHeight="1" x14ac:dyDescent="0.25">
      <c r="A130" s="135"/>
      <c r="B130" s="146">
        <v>5</v>
      </c>
      <c r="C130" s="74">
        <v>27</v>
      </c>
      <c r="D130" s="79">
        <v>104</v>
      </c>
      <c r="E130" s="77">
        <f>IF(C130=0," ",IF(C130=0,0,501-D130))</f>
        <v>397</v>
      </c>
      <c r="F130" s="74"/>
      <c r="G130" s="74"/>
      <c r="H130" s="136"/>
      <c r="I130" s="182"/>
      <c r="J130" s="76"/>
      <c r="K130" s="146">
        <v>5</v>
      </c>
      <c r="L130" s="79">
        <v>30</v>
      </c>
      <c r="M130" s="79"/>
      <c r="N130" s="77">
        <f>IF(L130=0," ",IF(L130=0,0,501-M130))</f>
        <v>501</v>
      </c>
      <c r="O130" s="74">
        <v>1</v>
      </c>
      <c r="P130" s="428"/>
      <c r="Q130" s="364"/>
      <c r="R130" s="368"/>
      <c r="S130" s="163"/>
      <c r="U130" s="61"/>
      <c r="V130" s="200" t="str">
        <f>IF(AND(E130=501,N130=501),"TARKISTA JÄI-SARAKE"," ")</f>
        <v xml:space="preserve"> </v>
      </c>
      <c r="W130" s="198"/>
      <c r="X130" s="65"/>
      <c r="Y130" s="61"/>
      <c r="Z130" s="61"/>
      <c r="AA130" s="61"/>
      <c r="AB130" s="201" t="str">
        <f>IF(AND(C130=0,L130&gt;0),"toinen TIKAT-sarake tyhjä !",IF(AND(C130&gt;0,L130=0),"toinen TIKAT-sarake tyhjä !",""))</f>
        <v/>
      </c>
      <c r="AC130" s="61"/>
      <c r="AD130" s="61"/>
      <c r="AH130" s="61"/>
      <c r="AI130" s="61"/>
      <c r="AJ130" s="61"/>
      <c r="AK130" s="61"/>
      <c r="AL130" s="61"/>
      <c r="AM130" s="202"/>
      <c r="AN130" s="61"/>
      <c r="AO130" s="61"/>
      <c r="AP130" s="61"/>
      <c r="AQ130" s="61"/>
      <c r="AR130" s="61"/>
      <c r="AS130" s="61"/>
      <c r="AT130" s="61"/>
      <c r="AU130" s="61"/>
    </row>
    <row r="131" spans="1:47" s="61" customFormat="1" ht="27.75" customHeight="1" thickBot="1" x14ac:dyDescent="0.25">
      <c r="A131" s="137"/>
      <c r="B131" s="140" t="s">
        <v>24</v>
      </c>
      <c r="C131" s="154">
        <f>COUNTIF(C126:C130,"&gt;0")</f>
        <v>5</v>
      </c>
      <c r="D131" s="154">
        <f>COUNTIF(D126:D130,"&gt;0")</f>
        <v>3</v>
      </c>
      <c r="E131" s="138"/>
      <c r="F131" s="138"/>
      <c r="G131" s="138"/>
      <c r="H131" s="141"/>
      <c r="I131" s="145"/>
      <c r="J131" s="140"/>
      <c r="K131" s="140"/>
      <c r="L131" s="154">
        <f>COUNTIF(L126:L130,"&gt;0")</f>
        <v>5</v>
      </c>
      <c r="M131" s="154">
        <f>COUNTIF(M126:M130,"&gt;0")</f>
        <v>2</v>
      </c>
      <c r="N131" s="138"/>
      <c r="O131" s="139"/>
      <c r="P131" s="139"/>
      <c r="Q131" s="366"/>
      <c r="R131" s="66"/>
      <c r="S131" s="163"/>
      <c r="T131" s="27"/>
      <c r="V131" s="202"/>
      <c r="AB131" s="202"/>
      <c r="AM131" s="202"/>
    </row>
    <row r="132" spans="1:47" s="61" customFormat="1" x14ac:dyDescent="0.2">
      <c r="A132" s="60"/>
      <c r="I132" s="68"/>
      <c r="J132" s="68"/>
      <c r="K132" s="68"/>
      <c r="L132" s="68"/>
      <c r="M132" s="68"/>
      <c r="R132" s="60"/>
      <c r="S132" s="163"/>
      <c r="T132" s="27"/>
      <c r="V132" s="202"/>
      <c r="AB132" s="202"/>
      <c r="AM132" s="202"/>
    </row>
    <row r="133" spans="1:47" s="61" customFormat="1" x14ac:dyDescent="0.2">
      <c r="A133" s="60"/>
      <c r="I133" s="68"/>
      <c r="J133" s="68"/>
      <c r="K133" s="68"/>
      <c r="L133" s="68"/>
      <c r="M133" s="68"/>
      <c r="S133" s="180"/>
      <c r="T133" s="27"/>
      <c r="V133" s="202"/>
      <c r="AB133" s="202"/>
      <c r="AM133" s="202"/>
    </row>
    <row r="134" spans="1:47" s="61" customFormat="1" x14ac:dyDescent="0.2">
      <c r="A134" s="66"/>
      <c r="B134" s="63"/>
      <c r="C134" s="63"/>
      <c r="D134" s="63"/>
      <c r="E134" s="63"/>
      <c r="F134" s="63"/>
      <c r="G134" s="63"/>
      <c r="H134" s="63"/>
      <c r="I134" s="359"/>
      <c r="J134" s="359"/>
      <c r="K134" s="359"/>
      <c r="L134" s="359"/>
      <c r="M134" s="359"/>
      <c r="N134" s="63"/>
      <c r="O134" s="63"/>
      <c r="P134" s="63"/>
      <c r="Q134" s="63"/>
      <c r="R134" s="63"/>
      <c r="S134" s="357"/>
      <c r="T134" s="27"/>
      <c r="V134" s="202"/>
      <c r="AB134" s="202"/>
      <c r="AM134" s="202"/>
    </row>
    <row r="135" spans="1:47" s="61" customFormat="1" ht="15.75" thickBot="1" x14ac:dyDescent="0.25">
      <c r="A135" s="66"/>
      <c r="B135" s="63"/>
      <c r="C135" s="63"/>
      <c r="D135" s="63"/>
      <c r="E135" s="63"/>
      <c r="F135" s="63"/>
      <c r="G135" s="63"/>
      <c r="H135" s="63"/>
      <c r="I135" s="359"/>
      <c r="J135" s="359"/>
      <c r="K135" s="359"/>
      <c r="L135" s="359"/>
      <c r="M135" s="359"/>
      <c r="N135" s="63"/>
      <c r="O135" s="63"/>
      <c r="P135" s="63"/>
      <c r="Q135" s="63"/>
      <c r="R135" s="63"/>
      <c r="S135" s="357"/>
      <c r="T135" s="27"/>
      <c r="V135" s="202"/>
      <c r="AB135" s="202"/>
      <c r="AM135" s="202"/>
    </row>
    <row r="136" spans="1:47" s="61" customFormat="1" ht="21.75" customHeight="1" x14ac:dyDescent="0.25">
      <c r="A136" s="376"/>
      <c r="B136" s="377" t="s">
        <v>0</v>
      </c>
      <c r="C136" s="499">
        <f>C27</f>
        <v>0</v>
      </c>
      <c r="D136" s="500"/>
      <c r="E136" s="500"/>
      <c r="F136" s="500"/>
      <c r="G136" s="500"/>
      <c r="H136" s="378">
        <f>IF(OR(H137="L",C136=0),0,1)</f>
        <v>0</v>
      </c>
      <c r="I136" s="379"/>
      <c r="J136" s="380"/>
      <c r="K136" s="381" t="s">
        <v>0</v>
      </c>
      <c r="L136" s="499">
        <f>J27</f>
        <v>0</v>
      </c>
      <c r="M136" s="500"/>
      <c r="N136" s="500"/>
      <c r="O136" s="500"/>
      <c r="P136" s="500"/>
      <c r="Q136" s="501"/>
      <c r="R136" s="501"/>
      <c r="S136" s="382">
        <f>IF(OR(I137="L",L136=0),0,1)</f>
        <v>0</v>
      </c>
      <c r="T136" s="27"/>
      <c r="V136" s="202"/>
      <c r="AB136" s="202"/>
      <c r="AM136" s="202"/>
    </row>
    <row r="137" spans="1:47" s="61" customFormat="1" x14ac:dyDescent="0.2">
      <c r="A137" s="383"/>
      <c r="B137" s="189"/>
      <c r="C137" s="189"/>
      <c r="D137" s="189"/>
      <c r="E137" s="189"/>
      <c r="F137" s="189"/>
      <c r="G137" s="189"/>
      <c r="H137" s="384"/>
      <c r="I137" s="506"/>
      <c r="J137" s="507"/>
      <c r="K137" s="385"/>
      <c r="L137" s="385"/>
      <c r="M137" s="385"/>
      <c r="N137" s="189"/>
      <c r="O137" s="189"/>
      <c r="P137" s="189"/>
      <c r="Q137" s="189"/>
      <c r="R137" s="189"/>
      <c r="S137" s="386"/>
      <c r="T137" s="27"/>
      <c r="V137" s="202"/>
      <c r="AB137" s="202"/>
      <c r="AM137" s="202"/>
    </row>
    <row r="138" spans="1:47" s="61" customFormat="1" x14ac:dyDescent="0.2">
      <c r="A138" s="383"/>
      <c r="B138" s="387" t="s">
        <v>1</v>
      </c>
      <c r="C138" s="363" t="s">
        <v>13</v>
      </c>
      <c r="D138" s="363" t="s">
        <v>14</v>
      </c>
      <c r="E138" s="388" t="s">
        <v>5</v>
      </c>
      <c r="F138" s="363" t="s">
        <v>15</v>
      </c>
      <c r="G138" s="363" t="s">
        <v>16</v>
      </c>
      <c r="H138" s="389"/>
      <c r="I138" s="390"/>
      <c r="J138" s="391"/>
      <c r="K138" s="387" t="s">
        <v>1</v>
      </c>
      <c r="L138" s="363" t="s">
        <v>13</v>
      </c>
      <c r="M138" s="363" t="s">
        <v>14</v>
      </c>
      <c r="N138" s="388" t="s">
        <v>5</v>
      </c>
      <c r="O138" s="502" t="s">
        <v>15</v>
      </c>
      <c r="P138" s="503"/>
      <c r="Q138" s="392"/>
      <c r="R138" s="363" t="s">
        <v>16</v>
      </c>
      <c r="S138" s="386"/>
      <c r="T138" s="27"/>
      <c r="V138" s="202"/>
      <c r="AB138" s="202"/>
      <c r="AM138" s="202"/>
    </row>
    <row r="139" spans="1:47" s="61" customFormat="1" ht="30.75" customHeight="1" x14ac:dyDescent="0.2">
      <c r="A139" s="383"/>
      <c r="B139" s="393">
        <v>1</v>
      </c>
      <c r="C139" s="394"/>
      <c r="D139" s="395"/>
      <c r="E139" s="365" t="str">
        <f>IF(C139=0," ",IF(C139=0,0,501-D139))</f>
        <v xml:space="preserve"> </v>
      </c>
      <c r="F139" s="394"/>
      <c r="G139" s="394"/>
      <c r="H139" s="396">
        <f>IF(AND(H136=1,S136=0),1,IF(COUNT(C139:C143)&gt;2,IF(COUNT(D139:D143)=3,0,1),0))</f>
        <v>0</v>
      </c>
      <c r="I139" s="397"/>
      <c r="J139" s="385"/>
      <c r="K139" s="393">
        <v>1</v>
      </c>
      <c r="L139" s="395"/>
      <c r="M139" s="395"/>
      <c r="N139" s="365" t="str">
        <f>IF(L139=0," ",IF(L139=0,0,501-M139))</f>
        <v xml:space="preserve"> </v>
      </c>
      <c r="O139" s="490"/>
      <c r="P139" s="491"/>
      <c r="Q139" s="492"/>
      <c r="R139" s="395"/>
      <c r="S139" s="386"/>
      <c r="T139" s="27"/>
      <c r="U139" s="75">
        <f>IF(AND(S136=1,H136=0),1,IF(COUNT(L139:L143)&gt;2,IF(COUNT(M139:M143)=3,0,1),0))</f>
        <v>0</v>
      </c>
      <c r="V139" s="200" t="str">
        <f>IF(AND(E139=501,N139=501),"TARKISTA JÄI-SARAKE"," ")</f>
        <v xml:space="preserve"> </v>
      </c>
      <c r="AB139" s="201" t="str">
        <f>IF(AND(C139=0,L139&gt;0),"toinen TIKAT-sarake tyhjä !",IF(AND(C139&gt;0,L139=0),"toinen TIKAT-sarake tyhjä !",""))</f>
        <v/>
      </c>
      <c r="AM139" s="202"/>
    </row>
    <row r="140" spans="1:47" s="61" customFormat="1" ht="30.75" customHeight="1" x14ac:dyDescent="0.25">
      <c r="A140" s="504" t="s">
        <v>11</v>
      </c>
      <c r="B140" s="393">
        <v>2</v>
      </c>
      <c r="C140" s="394"/>
      <c r="D140" s="395"/>
      <c r="E140" s="365" t="str">
        <f>IF(C140=0," ",IF(C140=0,0,501-D140))</f>
        <v xml:space="preserve"> </v>
      </c>
      <c r="F140" s="394"/>
      <c r="G140" s="394"/>
      <c r="H140" s="367"/>
      <c r="I140" s="397"/>
      <c r="J140" s="385"/>
      <c r="K140" s="393">
        <v>2</v>
      </c>
      <c r="L140" s="395"/>
      <c r="M140" s="395"/>
      <c r="N140" s="365" t="str">
        <f>IF(L140=0," ",IF(L140=0,0,501-M140))</f>
        <v xml:space="preserve"> </v>
      </c>
      <c r="O140" s="490"/>
      <c r="P140" s="491"/>
      <c r="Q140" s="492"/>
      <c r="R140" s="395"/>
      <c r="S140" s="386"/>
      <c r="T140" s="27"/>
      <c r="U140" s="27"/>
      <c r="V140" s="200" t="str">
        <f>IF(AND(E140=501,N140=501),"TARKISTA JÄI-SARAKE"," ")</f>
        <v xml:space="preserve"> </v>
      </c>
      <c r="W140" s="187"/>
      <c r="X140" s="188"/>
      <c r="Y140" s="27"/>
      <c r="Z140" s="27"/>
      <c r="AA140" s="27"/>
      <c r="AB140" s="201" t="str">
        <f>IF(AND(C140=0,L140&gt;0),"toinen TIKAT-sarake tyhjä !",IF(AND(C140&gt;0,L140=0),"toinen TIKAT-sarake tyhjä !",""))</f>
        <v/>
      </c>
      <c r="AC140" s="27"/>
      <c r="AM140" s="202"/>
    </row>
    <row r="141" spans="1:47" s="61" customFormat="1" ht="30.75" customHeight="1" x14ac:dyDescent="0.25">
      <c r="A141" s="505"/>
      <c r="B141" s="393">
        <v>3</v>
      </c>
      <c r="C141" s="394"/>
      <c r="D141" s="395"/>
      <c r="E141" s="365" t="str">
        <f>IF(C141=0," ",IF(C141=0,0,501-D141))</f>
        <v xml:space="preserve"> </v>
      </c>
      <c r="F141" s="394"/>
      <c r="G141" s="394"/>
      <c r="H141" s="367"/>
      <c r="I141" s="397"/>
      <c r="J141" s="385"/>
      <c r="K141" s="393">
        <v>3</v>
      </c>
      <c r="L141" s="395"/>
      <c r="M141" s="395"/>
      <c r="N141" s="365" t="str">
        <f>IF(L141=0," ",IF(L141=0,0,501-M141))</f>
        <v xml:space="preserve"> </v>
      </c>
      <c r="O141" s="490"/>
      <c r="P141" s="491"/>
      <c r="Q141" s="492"/>
      <c r="R141" s="395"/>
      <c r="S141" s="386"/>
      <c r="T141" s="27"/>
      <c r="U141" s="27"/>
      <c r="V141" s="200" t="str">
        <f>IF(AND(E141=501,N141=501),"TARKISTA JÄI-SARAKE"," ")</f>
        <v xml:space="preserve"> </v>
      </c>
      <c r="W141" s="187"/>
      <c r="X141" s="188"/>
      <c r="Y141" s="27"/>
      <c r="Z141" s="27"/>
      <c r="AA141" s="27"/>
      <c r="AB141" s="201" t="str">
        <f>IF(AND(C141=0,L141&gt;0),"toinen TIKAT-sarake tyhjä !",IF(AND(C141&gt;0,L141=0),"toinen TIKAT-sarake tyhjä !",""))</f>
        <v/>
      </c>
      <c r="AC141" s="27"/>
      <c r="AM141" s="202"/>
    </row>
    <row r="142" spans="1:47" s="61" customFormat="1" ht="30.75" customHeight="1" x14ac:dyDescent="0.25">
      <c r="A142" s="505"/>
      <c r="B142" s="393">
        <v>4</v>
      </c>
      <c r="C142" s="394"/>
      <c r="D142" s="395"/>
      <c r="E142" s="365" t="str">
        <f>IF(C142=0," ",IF(C142=0,0,501-D142))</f>
        <v xml:space="preserve"> </v>
      </c>
      <c r="F142" s="394"/>
      <c r="G142" s="394"/>
      <c r="H142" s="367"/>
      <c r="I142" s="397">
        <f>IF(D142&gt;0,1,0)</f>
        <v>0</v>
      </c>
      <c r="J142" s="385"/>
      <c r="K142" s="393">
        <v>4</v>
      </c>
      <c r="L142" s="395"/>
      <c r="M142" s="395"/>
      <c r="N142" s="365" t="str">
        <f>IF(L142=0," ",IF(L142=0,0,501-M142))</f>
        <v xml:space="preserve"> </v>
      </c>
      <c r="O142" s="490"/>
      <c r="P142" s="491"/>
      <c r="Q142" s="492"/>
      <c r="R142" s="395"/>
      <c r="S142" s="386"/>
      <c r="T142" s="27"/>
      <c r="U142" s="27"/>
      <c r="V142" s="200" t="str">
        <f>IF(AND(E142=501,N142=501),"TARKISTA JÄI-SARAKE"," ")</f>
        <v xml:space="preserve"> </v>
      </c>
      <c r="W142" s="187"/>
      <c r="X142" s="188"/>
      <c r="Y142" s="27"/>
      <c r="Z142" s="27"/>
      <c r="AA142" s="27"/>
      <c r="AB142" s="201" t="str">
        <f>IF(AND(C142=0,L142&gt;0),"toinen TIKAT-sarake tyhjä !",IF(AND(C142&gt;0,L142=0),"toinen TIKAT-sarake tyhjä !",""))</f>
        <v/>
      </c>
      <c r="AC142" s="27"/>
      <c r="AM142" s="202"/>
    </row>
    <row r="143" spans="1:47" s="61" customFormat="1" ht="30.75" customHeight="1" x14ac:dyDescent="0.25">
      <c r="A143" s="383"/>
      <c r="B143" s="393">
        <v>5</v>
      </c>
      <c r="C143" s="394"/>
      <c r="D143" s="395"/>
      <c r="E143" s="365" t="str">
        <f>IF(C143=0," ",IF(C143=0,0,501-D143))</f>
        <v xml:space="preserve"> </v>
      </c>
      <c r="F143" s="394"/>
      <c r="G143" s="394"/>
      <c r="H143" s="367"/>
      <c r="I143" s="397">
        <f>IF(D143&gt;0,1,0)</f>
        <v>0</v>
      </c>
      <c r="J143" s="385"/>
      <c r="K143" s="393">
        <v>5</v>
      </c>
      <c r="L143" s="395"/>
      <c r="M143" s="395"/>
      <c r="N143" s="365" t="str">
        <f>IF(L143=0," ",IF(L143=0,0,501-M143))</f>
        <v xml:space="preserve"> </v>
      </c>
      <c r="O143" s="490"/>
      <c r="P143" s="491"/>
      <c r="Q143" s="492"/>
      <c r="R143" s="395"/>
      <c r="S143" s="386"/>
      <c r="T143" s="27"/>
      <c r="U143" s="27"/>
      <c r="V143" s="200" t="str">
        <f>IF(AND(E143=501,N143=501),"TARKISTA JÄI-SARAKE"," ")</f>
        <v xml:space="preserve"> </v>
      </c>
      <c r="W143" s="187"/>
      <c r="X143" s="188"/>
      <c r="Y143" s="27"/>
      <c r="Z143" s="27"/>
      <c r="AA143" s="27"/>
      <c r="AB143" s="201" t="str">
        <f>IF(AND(C143=0,L143&gt;0),"toinen TIKAT-sarake tyhjä !",IF(AND(C143&gt;0,L143=0),"toinen TIKAT-sarake tyhjä !",""))</f>
        <v/>
      </c>
      <c r="AC143" s="27"/>
      <c r="AM143" s="202"/>
    </row>
    <row r="144" spans="1:47" s="61" customFormat="1" ht="15.75" thickBot="1" x14ac:dyDescent="0.25">
      <c r="A144" s="398"/>
      <c r="B144" s="369" t="s">
        <v>23</v>
      </c>
      <c r="C144" s="373">
        <f>COUNTIF(C139:C143,"&gt;0")</f>
        <v>0</v>
      </c>
      <c r="D144" s="373">
        <f>COUNTIF(D139:D143,"&gt;0")</f>
        <v>0</v>
      </c>
      <c r="E144" s="399"/>
      <c r="F144" s="399"/>
      <c r="G144" s="399"/>
      <c r="H144" s="400"/>
      <c r="I144" s="401"/>
      <c r="J144" s="402"/>
      <c r="K144" s="402"/>
      <c r="L144" s="373">
        <f>COUNTIF(L139:L143,"&gt;0")</f>
        <v>0</v>
      </c>
      <c r="M144" s="373">
        <f>COUNTIF(M139:M143,"&gt;0")</f>
        <v>0</v>
      </c>
      <c r="N144" s="399"/>
      <c r="O144" s="399"/>
      <c r="P144" s="399"/>
      <c r="Q144" s="399"/>
      <c r="R144" s="399"/>
      <c r="S144" s="403"/>
      <c r="T144" s="27"/>
      <c r="U144" s="27"/>
      <c r="V144" s="202"/>
      <c r="W144" s="27"/>
      <c r="X144" s="27"/>
      <c r="Y144" s="27"/>
      <c r="Z144" s="27"/>
      <c r="AA144" s="27"/>
      <c r="AB144" s="202"/>
      <c r="AC144" s="27"/>
      <c r="AM144" s="202"/>
    </row>
    <row r="145" spans="1:47" s="61" customFormat="1" x14ac:dyDescent="0.2">
      <c r="A145" s="66"/>
      <c r="B145" s="63"/>
      <c r="C145" s="63"/>
      <c r="D145" s="63"/>
      <c r="E145" s="63"/>
      <c r="F145" s="63"/>
      <c r="G145" s="63"/>
      <c r="H145" s="63"/>
      <c r="I145" s="359"/>
      <c r="J145" s="359"/>
      <c r="K145" s="359"/>
      <c r="L145" s="359"/>
      <c r="M145" s="359"/>
      <c r="N145" s="63"/>
      <c r="O145" s="63"/>
      <c r="P145" s="63"/>
      <c r="Q145" s="63"/>
      <c r="R145" s="63"/>
      <c r="S145" s="357"/>
      <c r="T145" s="27"/>
      <c r="U145" s="27"/>
      <c r="V145" s="202"/>
      <c r="W145" s="27"/>
      <c r="X145" s="27"/>
      <c r="Y145" s="27"/>
      <c r="Z145" s="27"/>
      <c r="AA145" s="27"/>
      <c r="AB145" s="202"/>
      <c r="AC145" s="27"/>
      <c r="AM145" s="202"/>
    </row>
    <row r="146" spans="1:47" s="61" customFormat="1" x14ac:dyDescent="0.2">
      <c r="A146" s="35"/>
      <c r="B146" s="35"/>
      <c r="C146" s="35"/>
      <c r="D146" s="35"/>
      <c r="E146" s="35"/>
      <c r="F146" s="35"/>
      <c r="G146" s="35"/>
      <c r="H146" s="35"/>
      <c r="I146" s="76"/>
      <c r="J146" s="76"/>
      <c r="K146" s="76"/>
      <c r="L146" s="76"/>
      <c r="M146" s="76"/>
      <c r="N146" s="35"/>
      <c r="O146" s="35"/>
      <c r="P146" s="35"/>
      <c r="Q146" s="35"/>
      <c r="R146" s="35"/>
      <c r="S146" s="163"/>
      <c r="T146" s="35"/>
      <c r="U146" s="35"/>
      <c r="V146" s="203"/>
      <c r="W146" s="35"/>
      <c r="X146" s="35"/>
      <c r="Y146" s="35"/>
      <c r="Z146" s="27"/>
      <c r="AA146" s="27"/>
      <c r="AB146" s="202"/>
      <c r="AC146" s="27"/>
      <c r="AM146" s="202"/>
    </row>
    <row r="147" spans="1:47" s="27" customFormat="1" ht="161.25" customHeight="1" x14ac:dyDescent="0.2">
      <c r="A147" s="405" t="s">
        <v>48</v>
      </c>
      <c r="B147" s="189"/>
      <c r="C147" s="189"/>
      <c r="D147" s="205" t="s">
        <v>13</v>
      </c>
      <c r="E147" s="205" t="s">
        <v>40</v>
      </c>
      <c r="F147" s="205" t="s">
        <v>37</v>
      </c>
      <c r="G147" s="205" t="s">
        <v>14</v>
      </c>
      <c r="H147" s="205" t="s">
        <v>5</v>
      </c>
      <c r="I147" s="205"/>
      <c r="J147" s="205" t="s">
        <v>39</v>
      </c>
      <c r="K147" s="205" t="s">
        <v>38</v>
      </c>
      <c r="L147" s="205" t="s">
        <v>25</v>
      </c>
      <c r="M147" s="205" t="s">
        <v>26</v>
      </c>
      <c r="N147" s="205" t="s">
        <v>27</v>
      </c>
      <c r="O147" s="205" t="s">
        <v>28</v>
      </c>
      <c r="P147" s="205"/>
      <c r="Q147" s="190"/>
      <c r="R147" s="189"/>
      <c r="S147" s="325"/>
      <c r="T147" s="189"/>
      <c r="U147" s="189"/>
      <c r="V147" s="189"/>
      <c r="W147" s="189"/>
      <c r="X147" s="189"/>
      <c r="Y147" s="189"/>
      <c r="AB147" s="202"/>
      <c r="AH147" s="61"/>
      <c r="AI147" s="61"/>
      <c r="AJ147" s="61"/>
      <c r="AK147" s="61"/>
      <c r="AL147" s="61"/>
      <c r="AM147" s="202"/>
      <c r="AN147" s="61"/>
      <c r="AO147" s="61"/>
      <c r="AP147" s="61"/>
      <c r="AQ147" s="61"/>
      <c r="AR147" s="61"/>
      <c r="AS147" s="61"/>
      <c r="AT147" s="61"/>
      <c r="AU147" s="61"/>
    </row>
    <row r="148" spans="1:47" s="27" customFormat="1" ht="24.75" customHeight="1" x14ac:dyDescent="0.2">
      <c r="A148" s="494" t="str">
        <f>C13</f>
        <v>Lindholm Tobias</v>
      </c>
      <c r="B148" s="495"/>
      <c r="C148" s="495"/>
      <c r="D148" s="191">
        <f>SUM(C56:C60,C96:C100)</f>
        <v>204</v>
      </c>
      <c r="E148" s="191">
        <f>SUM(C61,C101)</f>
        <v>7</v>
      </c>
      <c r="F148" s="191">
        <f>SUM(D61,D101)</f>
        <v>4</v>
      </c>
      <c r="G148" s="191">
        <f>SUM(D56:D60,D96:D100)</f>
        <v>61</v>
      </c>
      <c r="H148" s="493">
        <f>SUM(E56:E60,E96:E100)</f>
        <v>3446</v>
      </c>
      <c r="I148" s="493"/>
      <c r="J148" s="191">
        <f>SUM(H56,H96)</f>
        <v>1</v>
      </c>
      <c r="K148" s="191">
        <f>E148-F148</f>
        <v>3</v>
      </c>
      <c r="L148" s="191">
        <f>SUM(F56:F60,F96:F100)</f>
        <v>7</v>
      </c>
      <c r="M148" s="191">
        <f>SUM(G56:G60,G96:G100)</f>
        <v>0</v>
      </c>
      <c r="N148" s="192">
        <f>H148/D148</f>
        <v>16.892156862745097</v>
      </c>
      <c r="O148" s="496">
        <f>(L148+M148)/E148</f>
        <v>1</v>
      </c>
      <c r="P148" s="496"/>
      <c r="Q148" s="496"/>
      <c r="R148" s="189"/>
      <c r="S148" s="325"/>
      <c r="T148" s="189"/>
      <c r="U148" s="189"/>
      <c r="V148" s="189"/>
      <c r="W148" s="189"/>
      <c r="X148" s="189"/>
      <c r="Y148" s="189"/>
      <c r="AH148" s="61"/>
      <c r="AI148" s="61"/>
      <c r="AJ148" s="61"/>
      <c r="AK148" s="61"/>
      <c r="AL148" s="61"/>
      <c r="AM148" s="202"/>
      <c r="AN148" s="61"/>
      <c r="AO148" s="61"/>
      <c r="AP148" s="61"/>
      <c r="AQ148" s="61"/>
      <c r="AR148" s="61"/>
      <c r="AS148" s="61"/>
      <c r="AT148" s="61"/>
      <c r="AU148" s="61"/>
    </row>
    <row r="149" spans="1:47" s="27" customFormat="1" ht="24.75" customHeight="1" x14ac:dyDescent="0.2">
      <c r="A149" s="494" t="str">
        <f>C14</f>
        <v>Holmström Bjarne</v>
      </c>
      <c r="B149" s="495"/>
      <c r="C149" s="495"/>
      <c r="D149" s="191">
        <f>SUM(C66:C70,C106:C110)</f>
        <v>236</v>
      </c>
      <c r="E149" s="191">
        <f>SUM(C71,C111)</f>
        <v>8</v>
      </c>
      <c r="F149" s="191">
        <f>SUM(D71,D111)</f>
        <v>6</v>
      </c>
      <c r="G149" s="191">
        <f>SUM(D66:D70,D106:D110)</f>
        <v>351</v>
      </c>
      <c r="H149" s="493">
        <f>SUM(E66:E70,E106:E110)</f>
        <v>3657</v>
      </c>
      <c r="I149" s="493"/>
      <c r="J149" s="191">
        <f>SUM(H66,H106)</f>
        <v>0</v>
      </c>
      <c r="K149" s="191">
        <f t="shared" ref="K149:K155" si="4">E149-F149</f>
        <v>2</v>
      </c>
      <c r="L149" s="191">
        <f>SUM(F66:F70,F106:F110)</f>
        <v>1</v>
      </c>
      <c r="M149" s="191">
        <f>SUM(G66:G70,G106:G110)</f>
        <v>0</v>
      </c>
      <c r="N149" s="192">
        <f t="shared" ref="N149:N155" si="5">H149/D149</f>
        <v>15.495762711864407</v>
      </c>
      <c r="O149" s="496">
        <f t="shared" ref="O149:O155" si="6">(L149+M149)/E149</f>
        <v>0.125</v>
      </c>
      <c r="P149" s="496"/>
      <c r="Q149" s="496"/>
      <c r="R149" s="189"/>
      <c r="S149" s="325"/>
      <c r="T149" s="189"/>
      <c r="U149" s="189"/>
      <c r="V149" s="189"/>
      <c r="W149" s="189"/>
      <c r="X149" s="189"/>
      <c r="Y149" s="189"/>
      <c r="AH149" s="61"/>
      <c r="AI149" s="61"/>
      <c r="AJ149" s="61"/>
      <c r="AK149" s="61"/>
      <c r="AL149" s="61"/>
      <c r="AM149" s="202"/>
      <c r="AN149" s="61"/>
      <c r="AO149" s="61"/>
      <c r="AP149" s="61"/>
      <c r="AQ149" s="61"/>
      <c r="AR149" s="61"/>
      <c r="AS149" s="61"/>
      <c r="AT149" s="61"/>
      <c r="AU149" s="61"/>
    </row>
    <row r="150" spans="1:47" s="27" customFormat="1" ht="24.75" customHeight="1" x14ac:dyDescent="0.2">
      <c r="A150" s="494" t="str">
        <f>C15</f>
        <v>Aho Jarno</v>
      </c>
      <c r="B150" s="495"/>
      <c r="C150" s="495"/>
      <c r="D150" s="191">
        <f>SUM(C76:C80,C116:C120)</f>
        <v>182</v>
      </c>
      <c r="E150" s="191">
        <f>SUM(C81,C121)</f>
        <v>6</v>
      </c>
      <c r="F150" s="191">
        <f>SUM(D81,D121)</f>
        <v>3</v>
      </c>
      <c r="G150" s="191">
        <f>SUM(D76:D80,D116:D120)</f>
        <v>375</v>
      </c>
      <c r="H150" s="493">
        <f>SUM(E76:E80,E116:E120)</f>
        <v>2631</v>
      </c>
      <c r="I150" s="493"/>
      <c r="J150" s="191">
        <f>SUM(H76,H116)</f>
        <v>1</v>
      </c>
      <c r="K150" s="191">
        <f t="shared" si="4"/>
        <v>3</v>
      </c>
      <c r="L150" s="191">
        <f>SUM(F76:F80,F116:F120)</f>
        <v>2</v>
      </c>
      <c r="M150" s="191">
        <f>SUM(G76:G80,G116:G120)</f>
        <v>0</v>
      </c>
      <c r="N150" s="192">
        <f t="shared" si="5"/>
        <v>14.456043956043956</v>
      </c>
      <c r="O150" s="496">
        <f t="shared" si="6"/>
        <v>0.33333333333333331</v>
      </c>
      <c r="P150" s="496"/>
      <c r="Q150" s="496"/>
      <c r="R150" s="189"/>
      <c r="S150" s="325"/>
      <c r="T150" s="189"/>
      <c r="U150" s="189"/>
      <c r="V150" s="189"/>
      <c r="W150" s="189"/>
      <c r="X150" s="189"/>
      <c r="Y150" s="189"/>
      <c r="AH150" s="61"/>
      <c r="AI150" s="61"/>
      <c r="AJ150" s="61"/>
      <c r="AK150" s="61"/>
      <c r="AL150" s="61"/>
      <c r="AM150" s="202"/>
      <c r="AN150" s="61"/>
      <c r="AO150" s="61"/>
      <c r="AP150" s="61"/>
      <c r="AQ150" s="61"/>
      <c r="AR150" s="61"/>
      <c r="AS150" s="61"/>
      <c r="AT150" s="61"/>
      <c r="AU150" s="61"/>
    </row>
    <row r="151" spans="1:47" s="27" customFormat="1" ht="24.75" customHeight="1" x14ac:dyDescent="0.2">
      <c r="A151" s="494" t="str">
        <f>C16</f>
        <v>Nyholm Mikael</v>
      </c>
      <c r="B151" s="495"/>
      <c r="C151" s="495"/>
      <c r="D151" s="191">
        <f>SUM(C86:C90,C126:C130)</f>
        <v>266</v>
      </c>
      <c r="E151" s="191">
        <f>SUM(C91,C131)</f>
        <v>9</v>
      </c>
      <c r="F151" s="191">
        <f>SUM(D91,D131)</f>
        <v>6</v>
      </c>
      <c r="G151" s="191">
        <f>SUM(D86:D90,D126:D130)</f>
        <v>652</v>
      </c>
      <c r="H151" s="493">
        <f>SUM(E86:E90,E126:E130)</f>
        <v>3857</v>
      </c>
      <c r="I151" s="493"/>
      <c r="J151" s="191">
        <f>SUM(H86,H126)</f>
        <v>0</v>
      </c>
      <c r="K151" s="191">
        <f t="shared" si="4"/>
        <v>3</v>
      </c>
      <c r="L151" s="191">
        <f>SUM(F86:F90,F126:F130)</f>
        <v>4</v>
      </c>
      <c r="M151" s="191">
        <f>SUM(G86:G90,G126:G130)</f>
        <v>0</v>
      </c>
      <c r="N151" s="192">
        <f t="shared" si="5"/>
        <v>14.5</v>
      </c>
      <c r="O151" s="496">
        <f t="shared" si="6"/>
        <v>0.44444444444444442</v>
      </c>
      <c r="P151" s="496"/>
      <c r="Q151" s="496"/>
      <c r="R151" s="189"/>
      <c r="S151" s="325"/>
      <c r="T151" s="189"/>
      <c r="U151" s="189"/>
      <c r="V151" s="189"/>
      <c r="W151" s="189"/>
      <c r="X151" s="189"/>
      <c r="Y151" s="189"/>
      <c r="AH151" s="61"/>
      <c r="AI151" s="61"/>
      <c r="AJ151" s="61"/>
      <c r="AK151" s="61"/>
      <c r="AL151" s="61"/>
      <c r="AM151" s="202"/>
      <c r="AN151" s="61"/>
      <c r="AO151" s="61"/>
      <c r="AP151" s="61"/>
      <c r="AQ151" s="61"/>
      <c r="AR151" s="61"/>
      <c r="AS151" s="61"/>
      <c r="AT151" s="61"/>
      <c r="AU151" s="61"/>
    </row>
    <row r="152" spans="1:47" s="27" customFormat="1" ht="24.75" customHeight="1" x14ac:dyDescent="0.2">
      <c r="A152" s="494" t="str">
        <f>O13</f>
        <v>Nevalainen Ari</v>
      </c>
      <c r="B152" s="495"/>
      <c r="C152" s="495"/>
      <c r="D152" s="191">
        <f>IF($M$6="x",SUM(L56:L60,L116:L120),SUM(L66:L70,L96:L100))</f>
        <v>149</v>
      </c>
      <c r="E152" s="191">
        <f>IF($M$6="x",SUM(L61,L121),SUM(L71,L101))</f>
        <v>6</v>
      </c>
      <c r="F152" s="191">
        <f>IF($M$6="x",SUM(M61,M121),SUM(M71,M101))</f>
        <v>0</v>
      </c>
      <c r="G152" s="191">
        <f>IF($M$6="x",SUM(M56:M60,M116:M120),SUM(M66:M70,M96:M100))</f>
        <v>0</v>
      </c>
      <c r="H152" s="493">
        <f>IF($M$6="x",SUM(N56:N60,N116:N120),SUM(N66:N70,N96:N100))</f>
        <v>3006</v>
      </c>
      <c r="I152" s="493"/>
      <c r="J152" s="191">
        <f>IF($M$6="x",SUM(U56,U116),SUM(U66,U96))</f>
        <v>2</v>
      </c>
      <c r="K152" s="191">
        <f t="shared" si="4"/>
        <v>6</v>
      </c>
      <c r="L152" s="191">
        <f>IF($M$6="x",SUM(O56:O60,O116:O120),SUM(O66:O70,O96:O100))</f>
        <v>12</v>
      </c>
      <c r="M152" s="191">
        <f>IF($M$6="x",SUM(P56:P60,P116:P120),SUM(P66:P70,P96:P100))</f>
        <v>0</v>
      </c>
      <c r="N152" s="192">
        <f t="shared" si="5"/>
        <v>20.174496644295303</v>
      </c>
      <c r="O152" s="496">
        <f t="shared" si="6"/>
        <v>2</v>
      </c>
      <c r="P152" s="496"/>
      <c r="Q152" s="496"/>
      <c r="R152" s="189"/>
      <c r="S152" s="325"/>
      <c r="T152" s="189"/>
      <c r="U152" s="189"/>
      <c r="V152" s="189"/>
      <c r="W152" s="189"/>
      <c r="X152" s="189"/>
      <c r="Y152" s="189"/>
      <c r="AH152" s="61"/>
      <c r="AI152" s="61"/>
      <c r="AJ152" s="61"/>
      <c r="AK152" s="61"/>
      <c r="AL152" s="61"/>
      <c r="AM152" s="202"/>
      <c r="AN152" s="61"/>
      <c r="AO152" s="61"/>
      <c r="AP152" s="61"/>
      <c r="AQ152" s="61"/>
      <c r="AR152" s="61"/>
      <c r="AS152" s="61"/>
      <c r="AT152" s="61"/>
      <c r="AU152" s="61"/>
    </row>
    <row r="153" spans="1:47" s="27" customFormat="1" ht="24.75" customHeight="1" x14ac:dyDescent="0.2">
      <c r="A153" s="494" t="str">
        <f>O14</f>
        <v>Partanen Jarkko</v>
      </c>
      <c r="B153" s="495"/>
      <c r="C153" s="495"/>
      <c r="D153" s="191">
        <f>IF($M$6="x",SUM(L66:L70,L96:L100),SUM(L56:L60,L106:L110))</f>
        <v>283</v>
      </c>
      <c r="E153" s="191">
        <f>IF($M$6="x",SUM(L71,L101),SUM(L61,L111))</f>
        <v>9</v>
      </c>
      <c r="F153" s="191">
        <f>IF($M$6="x",SUM(M71,M101),SUM(M61,M111))</f>
        <v>5</v>
      </c>
      <c r="G153" s="191">
        <f>IF($M$6="x",SUM(M66:M70,M96:M100),SUM(M56:M60,M106:M110))</f>
        <v>588</v>
      </c>
      <c r="H153" s="493">
        <f>IF($M$6="x",SUM(N66:N70,N96:N100),SUM(N56:N60,N106:N110))</f>
        <v>3921</v>
      </c>
      <c r="I153" s="493"/>
      <c r="J153" s="191">
        <f>IF($M$6="x",SUM(U66,U96),SUM(U56,U106))</f>
        <v>1</v>
      </c>
      <c r="K153" s="191">
        <f t="shared" si="4"/>
        <v>4</v>
      </c>
      <c r="L153" s="191">
        <f>IF($M$6="x",SUM(O66:O70,O96:O100),SUM(O56:O60,O106:O110))</f>
        <v>5</v>
      </c>
      <c r="M153" s="191">
        <f>IF($M$6="x",SUM(P66:P70,P96:P100),SUM(P56:P60,P106:P110))</f>
        <v>0</v>
      </c>
      <c r="N153" s="192">
        <f t="shared" si="5"/>
        <v>13.855123674911662</v>
      </c>
      <c r="O153" s="496">
        <f t="shared" si="6"/>
        <v>0.55555555555555558</v>
      </c>
      <c r="P153" s="496"/>
      <c r="Q153" s="496"/>
      <c r="R153" s="189"/>
      <c r="S153" s="325"/>
      <c r="T153" s="189"/>
      <c r="U153" s="189"/>
      <c r="V153" s="189"/>
      <c r="W153" s="189"/>
      <c r="X153" s="189"/>
      <c r="Y153" s="189"/>
      <c r="AH153" s="61"/>
      <c r="AI153" s="61"/>
      <c r="AJ153" s="61"/>
      <c r="AK153" s="61"/>
      <c r="AL153" s="61"/>
      <c r="AM153" s="202"/>
      <c r="AN153" s="61"/>
      <c r="AO153" s="61"/>
      <c r="AP153" s="61"/>
      <c r="AQ153" s="61"/>
      <c r="AR153" s="61"/>
      <c r="AS153" s="61"/>
      <c r="AT153" s="61"/>
      <c r="AU153" s="61"/>
    </row>
    <row r="154" spans="1:47" s="27" customFormat="1" ht="24.75" customHeight="1" x14ac:dyDescent="0.2">
      <c r="A154" s="494" t="str">
        <f>O15</f>
        <v>Mantila Petri</v>
      </c>
      <c r="B154" s="495"/>
      <c r="C154" s="495"/>
      <c r="D154" s="191">
        <f>IF($M$6="x",SUM(L76:L80,L106:L110),SUM(L86:L90,L116:L120))</f>
        <v>231</v>
      </c>
      <c r="E154" s="191">
        <f>IF($M$6="x",SUM(L81,L111),SUM(L91,L121))</f>
        <v>7</v>
      </c>
      <c r="F154" s="191">
        <f>IF($M$6="x",SUM(M81,M111),SUM(M91,M121))</f>
        <v>4</v>
      </c>
      <c r="G154" s="191">
        <f>IF($M$6="x",SUM(M76:M80,M106:M110),SUM(M86:M90,M116:M120))</f>
        <v>41</v>
      </c>
      <c r="H154" s="493">
        <f>IF($M$6="x",SUM(N76:N80,N106:N110),SUM(N86:N90,N116:N120))</f>
        <v>3466</v>
      </c>
      <c r="I154" s="493"/>
      <c r="J154" s="191">
        <f>IF($M$6="x",SUM(U76,U106),SUM(U86,U116))</f>
        <v>1</v>
      </c>
      <c r="K154" s="191">
        <f t="shared" si="4"/>
        <v>3</v>
      </c>
      <c r="L154" s="191">
        <f>IF($M$6="x",SUM(O76:O80,O106:O110),SUM(O86:O90,O116:O120))</f>
        <v>2</v>
      </c>
      <c r="M154" s="191">
        <f>IF($M$6="x",SUM(P76:P80,P106:P110),SUM(P86:P90,P116:P120))</f>
        <v>0</v>
      </c>
      <c r="N154" s="192">
        <f t="shared" si="5"/>
        <v>15.004329004329005</v>
      </c>
      <c r="O154" s="496">
        <f t="shared" si="6"/>
        <v>0.2857142857142857</v>
      </c>
      <c r="P154" s="496"/>
      <c r="Q154" s="496"/>
      <c r="R154" s="189"/>
      <c r="S154" s="325"/>
      <c r="T154" s="189"/>
      <c r="U154" s="189"/>
      <c r="V154" s="189"/>
      <c r="W154" s="189"/>
      <c r="X154" s="189"/>
      <c r="Y154" s="189"/>
      <c r="Z154" s="35"/>
      <c r="AA154" s="35"/>
      <c r="AB154" s="35"/>
      <c r="AC154" s="35"/>
      <c r="AD154" s="35"/>
      <c r="AE154" s="35"/>
      <c r="AF154" s="35"/>
      <c r="AG154" s="35"/>
      <c r="AH154" s="61"/>
      <c r="AI154" s="61"/>
      <c r="AJ154" s="61"/>
      <c r="AK154" s="61"/>
      <c r="AL154" s="61"/>
      <c r="AM154" s="202"/>
      <c r="AN154" s="61"/>
      <c r="AO154" s="61"/>
      <c r="AP154" s="61"/>
      <c r="AQ154" s="61"/>
      <c r="AR154" s="61"/>
      <c r="AS154" s="61"/>
      <c r="AT154" s="61"/>
      <c r="AU154" s="61"/>
    </row>
    <row r="155" spans="1:47" s="27" customFormat="1" ht="24.75" customHeight="1" x14ac:dyDescent="0.2">
      <c r="A155" s="494" t="str">
        <f>O16</f>
        <v>Lokkinen Marko</v>
      </c>
      <c r="B155" s="495"/>
      <c r="C155" s="495"/>
      <c r="D155" s="191">
        <f>IF($M$6="x",SUM(L86:L90,L126:L130),SUM(L76:L80,L126:L130))</f>
        <v>217</v>
      </c>
      <c r="E155" s="191">
        <f>IF($M$6="x",SUM(L91,L131),SUM(L81,L131))</f>
        <v>8</v>
      </c>
      <c r="F155" s="191">
        <f>IF($M$6="x",SUM(M91,M131),SUM(M81,M131))</f>
        <v>2</v>
      </c>
      <c r="G155" s="191">
        <f>IF($M$6="x",SUM(M86:M90,M126:M130),SUM(M76:M80,M126:M130))</f>
        <v>28</v>
      </c>
      <c r="H155" s="493">
        <f>IF($M$6="x",SUM(N86:N90,N126:N130),SUM(N76:N80,N126:N130))</f>
        <v>3980</v>
      </c>
      <c r="I155" s="493"/>
      <c r="J155" s="191">
        <f>IF($M$6="x",SUM(U86,U126),SUM(U76,U126))</f>
        <v>2</v>
      </c>
      <c r="K155" s="191">
        <f t="shared" si="4"/>
        <v>6</v>
      </c>
      <c r="L155" s="191">
        <f>IF($M$6="x",SUM(O86:O90,O126:O130),SUM(O76:O80,O126:O130))</f>
        <v>8</v>
      </c>
      <c r="M155" s="191">
        <f>IF($M$6="x",SUM(P86:P90,P126:P130),SUM(P76:P80,P126:P130))</f>
        <v>0</v>
      </c>
      <c r="N155" s="192">
        <f t="shared" si="5"/>
        <v>18.341013824884794</v>
      </c>
      <c r="O155" s="496">
        <f t="shared" si="6"/>
        <v>1</v>
      </c>
      <c r="P155" s="496"/>
      <c r="Q155" s="496"/>
      <c r="R155" s="189"/>
      <c r="S155" s="325"/>
      <c r="T155" s="189"/>
      <c r="U155" s="189"/>
      <c r="V155" s="189"/>
      <c r="W155" s="189"/>
      <c r="X155" s="189"/>
      <c r="Y155" s="189"/>
      <c r="Z155" s="35"/>
      <c r="AA155" s="35"/>
      <c r="AB155" s="35"/>
      <c r="AC155" s="35"/>
      <c r="AD155" s="35"/>
      <c r="AE155" s="35"/>
      <c r="AF155" s="35"/>
      <c r="AG155" s="35"/>
      <c r="AH155" s="61"/>
      <c r="AI155" s="61"/>
      <c r="AJ155" s="61"/>
      <c r="AK155" s="61"/>
      <c r="AL155" s="61"/>
      <c r="AM155" s="202"/>
      <c r="AN155" s="61"/>
      <c r="AO155" s="61"/>
      <c r="AP155" s="61"/>
      <c r="AQ155" s="61"/>
      <c r="AR155" s="61"/>
      <c r="AS155" s="61"/>
      <c r="AT155" s="61"/>
      <c r="AU155" s="61"/>
    </row>
    <row r="156" spans="1:47" s="27" customFormat="1" x14ac:dyDescent="0.2">
      <c r="A156" s="66"/>
      <c r="B156" s="66"/>
      <c r="C156" s="66"/>
      <c r="D156" s="160"/>
      <c r="E156" s="66"/>
      <c r="F156" s="66"/>
      <c r="G156" s="66"/>
      <c r="H156" s="66"/>
      <c r="I156" s="161"/>
      <c r="J156" s="161"/>
      <c r="K156" s="161"/>
      <c r="L156" s="161"/>
      <c r="M156" s="161"/>
      <c r="N156" s="66"/>
      <c r="O156" s="66"/>
      <c r="P156" s="66"/>
      <c r="Q156" s="66"/>
      <c r="R156" s="66"/>
      <c r="S156" s="325"/>
      <c r="T156" s="189"/>
      <c r="U156" s="189"/>
      <c r="V156" s="189"/>
      <c r="W156" s="189"/>
      <c r="X156" s="189"/>
      <c r="Y156" s="189"/>
      <c r="Z156" s="35"/>
      <c r="AA156" s="113"/>
      <c r="AB156" s="35"/>
      <c r="AC156" s="35"/>
      <c r="AD156" s="35"/>
      <c r="AE156" s="35"/>
      <c r="AF156" s="35"/>
      <c r="AG156" s="35"/>
      <c r="AH156" s="61"/>
      <c r="AI156" s="61"/>
      <c r="AJ156" s="61"/>
      <c r="AK156" s="61"/>
      <c r="AL156" s="61"/>
      <c r="AM156" s="202"/>
      <c r="AN156" s="61"/>
      <c r="AO156" s="61"/>
      <c r="AP156" s="61"/>
      <c r="AQ156" s="61"/>
      <c r="AR156" s="61"/>
      <c r="AS156" s="61"/>
      <c r="AT156" s="61"/>
      <c r="AU156" s="61"/>
    </row>
    <row r="157" spans="1:47" s="61" customFormat="1" x14ac:dyDescent="0.2">
      <c r="A157" s="66"/>
      <c r="B157" s="66"/>
      <c r="C157" s="66"/>
      <c r="D157" s="66"/>
      <c r="E157" s="66"/>
      <c r="F157" s="66"/>
      <c r="G157" s="66"/>
      <c r="H157" s="66"/>
      <c r="I157" s="161"/>
      <c r="J157" s="161"/>
      <c r="K157" s="161"/>
      <c r="L157" s="161"/>
      <c r="M157" s="161"/>
      <c r="N157" s="66"/>
      <c r="O157" s="66"/>
      <c r="P157" s="66"/>
      <c r="Q157" s="66"/>
      <c r="R157" s="66"/>
      <c r="S157" s="325"/>
      <c r="T157" s="189"/>
      <c r="U157" s="189"/>
      <c r="V157" s="189"/>
      <c r="W157" s="189"/>
      <c r="X157" s="189"/>
      <c r="Y157" s="189"/>
      <c r="Z157" s="35"/>
      <c r="AA157" s="113"/>
      <c r="AB157" s="35"/>
      <c r="AC157" s="35"/>
      <c r="AD157" s="60"/>
      <c r="AE157" s="60"/>
      <c r="AF157" s="60"/>
      <c r="AG157" s="60"/>
      <c r="AM157" s="202"/>
    </row>
    <row r="158" spans="1:47" s="61" customFormat="1" x14ac:dyDescent="0.2">
      <c r="A158" s="66"/>
      <c r="B158" s="66"/>
      <c r="C158" s="66"/>
      <c r="D158" s="66"/>
      <c r="E158" s="66"/>
      <c r="F158" s="66"/>
      <c r="G158" s="66"/>
      <c r="H158" s="66"/>
      <c r="I158" s="161"/>
      <c r="J158" s="161"/>
      <c r="K158" s="161"/>
      <c r="L158" s="161"/>
      <c r="M158" s="161"/>
      <c r="N158" s="66"/>
      <c r="O158" s="66"/>
      <c r="P158" s="66"/>
      <c r="Q158" s="66"/>
      <c r="R158" s="66"/>
      <c r="S158" s="325"/>
      <c r="T158" s="189"/>
      <c r="U158" s="189"/>
      <c r="V158" s="189"/>
      <c r="W158" s="189"/>
      <c r="X158" s="189"/>
      <c r="Y158" s="189"/>
      <c r="Z158" s="35"/>
      <c r="AA158" s="113"/>
      <c r="AB158" s="35"/>
      <c r="AC158" s="35"/>
      <c r="AD158" s="60"/>
      <c r="AE158" s="60"/>
      <c r="AF158" s="60"/>
      <c r="AG158" s="60"/>
      <c r="AM158" s="202"/>
    </row>
    <row r="159" spans="1:47" s="61" customFormat="1" x14ac:dyDescent="0.2">
      <c r="A159" s="60"/>
      <c r="I159" s="68"/>
      <c r="J159" s="68"/>
      <c r="K159" s="68"/>
      <c r="L159" s="68"/>
      <c r="M159" s="68"/>
      <c r="S159" s="180"/>
      <c r="T159" s="27"/>
      <c r="U159" s="27"/>
      <c r="V159" s="27"/>
      <c r="W159" s="27"/>
      <c r="X159" s="27"/>
      <c r="Y159" s="35"/>
      <c r="Z159" s="35"/>
      <c r="AA159" s="113"/>
      <c r="AB159" s="35"/>
      <c r="AC159" s="35"/>
      <c r="AD159" s="60"/>
      <c r="AE159" s="60"/>
      <c r="AF159" s="60"/>
      <c r="AG159" s="60"/>
      <c r="AM159" s="202"/>
    </row>
    <row r="160" spans="1:47" s="61" customFormat="1" x14ac:dyDescent="0.2">
      <c r="A160" s="60"/>
      <c r="I160" s="68"/>
      <c r="J160" s="68"/>
      <c r="K160" s="68"/>
      <c r="L160" s="68"/>
      <c r="M160" s="68"/>
      <c r="S160" s="180"/>
      <c r="T160" s="27"/>
      <c r="U160" s="27"/>
      <c r="V160" s="27"/>
      <c r="W160" s="27"/>
      <c r="X160" s="27"/>
      <c r="Y160" s="35"/>
      <c r="Z160" s="35"/>
      <c r="AA160" s="113"/>
      <c r="AB160" s="35"/>
      <c r="AC160" s="35"/>
      <c r="AD160" s="60"/>
      <c r="AE160" s="60"/>
      <c r="AF160" s="60"/>
      <c r="AG160" s="60"/>
      <c r="AM160" s="202"/>
    </row>
    <row r="161" spans="1:39" s="61" customFormat="1" x14ac:dyDescent="0.2">
      <c r="A161" s="60"/>
      <c r="I161" s="68"/>
      <c r="J161" s="68"/>
      <c r="K161" s="68"/>
      <c r="L161" s="68"/>
      <c r="M161" s="68"/>
      <c r="S161" s="180"/>
      <c r="T161" s="27"/>
      <c r="U161" s="27"/>
      <c r="V161" s="27"/>
      <c r="W161" s="27"/>
      <c r="X161" s="27"/>
      <c r="Y161" s="35"/>
      <c r="Z161" s="35"/>
      <c r="AA161" s="113"/>
      <c r="AB161" s="35"/>
      <c r="AC161" s="35"/>
      <c r="AD161" s="60"/>
      <c r="AE161" s="60"/>
      <c r="AF161" s="60"/>
      <c r="AG161" s="60"/>
      <c r="AM161" s="202"/>
    </row>
    <row r="162" spans="1:39" s="61" customFormat="1" x14ac:dyDescent="0.2">
      <c r="A162" s="60"/>
      <c r="I162" s="68"/>
      <c r="J162" s="68"/>
      <c r="K162" s="68"/>
      <c r="L162" s="68"/>
      <c r="M162" s="68"/>
      <c r="S162" s="180"/>
      <c r="T162" s="27"/>
      <c r="U162" s="27"/>
      <c r="V162" s="27"/>
      <c r="W162" s="27"/>
      <c r="X162" s="27"/>
      <c r="Y162" s="35"/>
      <c r="Z162" s="35"/>
      <c r="AA162" s="113"/>
      <c r="AB162" s="35"/>
      <c r="AC162" s="35"/>
      <c r="AD162" s="60"/>
      <c r="AE162" s="60"/>
      <c r="AF162" s="60"/>
      <c r="AG162" s="60"/>
      <c r="AM162" s="202"/>
    </row>
    <row r="163" spans="1:39" s="61" customFormat="1" x14ac:dyDescent="0.2">
      <c r="A163" s="60"/>
      <c r="I163" s="68"/>
      <c r="J163" s="68"/>
      <c r="K163" s="68"/>
      <c r="L163" s="68"/>
      <c r="M163" s="68"/>
      <c r="S163" s="180"/>
      <c r="T163" s="27"/>
      <c r="U163" s="27"/>
      <c r="V163" s="27"/>
      <c r="W163" s="27"/>
      <c r="X163" s="27"/>
      <c r="Y163" s="35"/>
      <c r="Z163" s="35"/>
      <c r="AA163" s="113"/>
      <c r="AB163" s="35"/>
      <c r="AC163" s="35"/>
      <c r="AD163" s="60"/>
      <c r="AE163" s="60"/>
      <c r="AF163" s="60"/>
      <c r="AG163" s="60"/>
      <c r="AM163" s="202"/>
    </row>
    <row r="164" spans="1:39" s="61" customFormat="1" x14ac:dyDescent="0.2">
      <c r="A164" s="60"/>
      <c r="I164" s="68"/>
      <c r="J164" s="68"/>
      <c r="K164" s="68"/>
      <c r="L164" s="68"/>
      <c r="M164" s="68"/>
      <c r="S164" s="180"/>
      <c r="T164" s="27"/>
      <c r="U164" s="27"/>
      <c r="V164" s="27"/>
      <c r="W164" s="27"/>
      <c r="X164" s="27"/>
      <c r="Y164" s="35"/>
      <c r="Z164" s="35"/>
      <c r="AA164" s="35"/>
      <c r="AB164" s="35"/>
      <c r="AC164" s="35"/>
      <c r="AD164" s="60"/>
      <c r="AE164" s="60"/>
      <c r="AF164" s="60"/>
      <c r="AG164" s="60"/>
      <c r="AM164" s="202"/>
    </row>
    <row r="165" spans="1:39" s="61" customFormat="1" x14ac:dyDescent="0.2">
      <c r="A165" s="60"/>
      <c r="I165" s="68"/>
      <c r="J165" s="68"/>
      <c r="K165" s="68"/>
      <c r="L165" s="68"/>
      <c r="M165" s="68"/>
      <c r="S165" s="180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M165" s="202"/>
    </row>
    <row r="166" spans="1:39" s="61" customFormat="1" x14ac:dyDescent="0.2">
      <c r="A166" s="60"/>
      <c r="I166" s="68"/>
      <c r="J166" s="68"/>
      <c r="K166" s="68"/>
      <c r="L166" s="68"/>
      <c r="M166" s="68"/>
      <c r="S166" s="180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M166" s="202"/>
    </row>
    <row r="167" spans="1:39" s="61" customFormat="1" x14ac:dyDescent="0.2">
      <c r="A167" s="60"/>
      <c r="I167" s="68"/>
      <c r="J167" s="68"/>
      <c r="K167" s="68"/>
      <c r="L167" s="68"/>
      <c r="M167" s="68"/>
      <c r="S167" s="180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M167" s="202"/>
    </row>
    <row r="168" spans="1:39" s="61" customFormat="1" x14ac:dyDescent="0.2">
      <c r="A168" s="60"/>
      <c r="I168" s="68"/>
      <c r="J168" s="68"/>
      <c r="K168" s="68"/>
      <c r="L168" s="68"/>
      <c r="M168" s="68"/>
      <c r="S168" s="180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M168" s="202"/>
    </row>
    <row r="169" spans="1:39" s="61" customFormat="1" x14ac:dyDescent="0.2">
      <c r="A169" s="60"/>
      <c r="I169" s="68"/>
      <c r="J169" s="68"/>
      <c r="K169" s="68"/>
      <c r="L169" s="68"/>
      <c r="M169" s="68"/>
      <c r="S169" s="180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M169" s="202"/>
    </row>
    <row r="170" spans="1:39" s="61" customFormat="1" x14ac:dyDescent="0.2">
      <c r="A170" s="60"/>
      <c r="I170" s="68"/>
      <c r="J170" s="68"/>
      <c r="K170" s="68"/>
      <c r="L170" s="68"/>
      <c r="M170" s="68"/>
      <c r="S170" s="180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M170" s="202"/>
    </row>
    <row r="171" spans="1:39" s="61" customFormat="1" x14ac:dyDescent="0.2">
      <c r="A171" s="60"/>
      <c r="I171" s="68"/>
      <c r="J171" s="68"/>
      <c r="K171" s="68"/>
      <c r="L171" s="68"/>
      <c r="M171" s="68"/>
      <c r="S171" s="180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M171" s="202"/>
    </row>
    <row r="172" spans="1:39" s="61" customFormat="1" x14ac:dyDescent="0.2">
      <c r="A172" s="60"/>
      <c r="I172" s="68"/>
      <c r="J172" s="68"/>
      <c r="K172" s="68"/>
      <c r="L172" s="68"/>
      <c r="M172" s="68"/>
      <c r="S172" s="180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M172" s="202"/>
    </row>
    <row r="173" spans="1:39" s="61" customFormat="1" x14ac:dyDescent="0.2">
      <c r="A173" s="60"/>
      <c r="I173" s="68"/>
      <c r="J173" s="68"/>
      <c r="K173" s="68"/>
      <c r="L173" s="68"/>
      <c r="M173" s="68"/>
      <c r="S173" s="180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M173" s="202"/>
    </row>
    <row r="174" spans="1:39" s="61" customFormat="1" x14ac:dyDescent="0.2">
      <c r="A174" s="60"/>
      <c r="I174" s="68"/>
      <c r="J174" s="68"/>
      <c r="K174" s="68"/>
      <c r="L174" s="68"/>
      <c r="M174" s="68"/>
      <c r="S174" s="180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M174" s="202"/>
    </row>
    <row r="175" spans="1:39" s="61" customFormat="1" x14ac:dyDescent="0.2">
      <c r="A175" s="60"/>
      <c r="I175" s="68"/>
      <c r="J175" s="68"/>
      <c r="K175" s="68"/>
      <c r="L175" s="68"/>
      <c r="M175" s="68"/>
      <c r="S175" s="180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M175" s="202"/>
    </row>
    <row r="176" spans="1:39" s="61" customFormat="1" x14ac:dyDescent="0.2">
      <c r="A176" s="60"/>
      <c r="I176" s="68"/>
      <c r="J176" s="68"/>
      <c r="K176" s="68"/>
      <c r="L176" s="68"/>
      <c r="M176" s="68"/>
      <c r="S176" s="180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M176" s="202"/>
    </row>
    <row r="177" spans="1:39" s="61" customFormat="1" x14ac:dyDescent="0.2">
      <c r="A177" s="60"/>
      <c r="I177" s="68"/>
      <c r="J177" s="68"/>
      <c r="K177" s="68"/>
      <c r="L177" s="68"/>
      <c r="M177" s="68"/>
      <c r="S177" s="180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M177" s="202"/>
    </row>
    <row r="178" spans="1:39" s="61" customFormat="1" x14ac:dyDescent="0.2">
      <c r="A178" s="60"/>
      <c r="I178" s="68"/>
      <c r="J178" s="68"/>
      <c r="K178" s="68"/>
      <c r="L178" s="68"/>
      <c r="M178" s="68"/>
      <c r="S178" s="180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M178" s="202"/>
    </row>
    <row r="179" spans="1:39" s="61" customFormat="1" x14ac:dyDescent="0.2">
      <c r="A179" s="60"/>
      <c r="I179" s="68"/>
      <c r="J179" s="68"/>
      <c r="K179" s="68"/>
      <c r="L179" s="68"/>
      <c r="M179" s="68"/>
      <c r="S179" s="180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M179" s="202"/>
    </row>
    <row r="180" spans="1:39" s="61" customFormat="1" x14ac:dyDescent="0.2">
      <c r="A180" s="60"/>
      <c r="I180" s="68"/>
      <c r="J180" s="68"/>
      <c r="K180" s="68"/>
      <c r="L180" s="68"/>
      <c r="M180" s="68"/>
      <c r="S180" s="180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M180" s="202"/>
    </row>
    <row r="181" spans="1:39" s="61" customFormat="1" x14ac:dyDescent="0.2">
      <c r="A181" s="60"/>
      <c r="I181" s="68"/>
      <c r="J181" s="68"/>
      <c r="K181" s="68"/>
      <c r="L181" s="68"/>
      <c r="M181" s="68"/>
      <c r="S181" s="180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M181" s="202"/>
    </row>
    <row r="182" spans="1:39" s="61" customFormat="1" x14ac:dyDescent="0.2">
      <c r="A182" s="60"/>
      <c r="I182" s="68"/>
      <c r="J182" s="68"/>
      <c r="K182" s="68"/>
      <c r="L182" s="68"/>
      <c r="M182" s="68"/>
      <c r="S182" s="180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M182" s="202"/>
    </row>
    <row r="183" spans="1:39" s="61" customFormat="1" x14ac:dyDescent="0.2">
      <c r="A183" s="60"/>
      <c r="I183" s="68"/>
      <c r="J183" s="68"/>
      <c r="K183" s="68"/>
      <c r="L183" s="68"/>
      <c r="M183" s="68"/>
      <c r="S183" s="180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M183" s="202"/>
    </row>
    <row r="184" spans="1:39" s="61" customFormat="1" x14ac:dyDescent="0.2">
      <c r="A184" s="60"/>
      <c r="I184" s="68"/>
      <c r="J184" s="68"/>
      <c r="K184" s="68"/>
      <c r="L184" s="68"/>
      <c r="M184" s="68"/>
      <c r="S184" s="180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M184" s="202"/>
    </row>
  </sheetData>
  <sheetProtection algorithmName="SHA-512" hashValue="lTGu0rgHlRpWr1x1z/EkejfOfKhU7xbsciNT0vAG0VI5hV0ebn/k8oJOuksPHAVkx4ij+E2jwfAf/YdKrZYFoQ==" saltValue="AUVxpiN8FSNC8BKA4u+N+w==" spinCount="100000" sheet="1" selectLockedCells="1"/>
  <dataConsolidate>
    <dataRefs count="1">
      <dataRef ref="C13" sheet="Ottelu 1"/>
    </dataRefs>
  </dataConsolidate>
  <customSheetViews>
    <customSheetView guid="{D7BA83DF-7FB9-4BC8-8608-11C4C7AC2BBD}" scale="70" showGridLines="0" showRowCol="0">
      <selection activeCell="O9" sqref="O9:AF9"/>
      <pageMargins left="0.19" right="0.18" top="0.37" bottom="0.35433070866141736" header="0.15748031496062992" footer="0.51181102362204722"/>
      <printOptions horizontalCentered="1"/>
      <pageSetup paperSize="9" scale="70" orientation="portrait" r:id="rId1"/>
      <headerFooter alignWithMargins="0"/>
    </customSheetView>
  </customSheetViews>
  <mergeCells count="129">
    <mergeCell ref="H35:N35"/>
    <mergeCell ref="C23:G23"/>
    <mergeCell ref="C24:G24"/>
    <mergeCell ref="O36:U36"/>
    <mergeCell ref="J25:O25"/>
    <mergeCell ref="J26:O26"/>
    <mergeCell ref="V35:AH35"/>
    <mergeCell ref="V36:AH36"/>
    <mergeCell ref="J27:O27"/>
    <mergeCell ref="T2:W2"/>
    <mergeCell ref="L4:M4"/>
    <mergeCell ref="O13:AE13"/>
    <mergeCell ref="O14:AE14"/>
    <mergeCell ref="O15:AE15"/>
    <mergeCell ref="O16:AE16"/>
    <mergeCell ref="L6:N6"/>
    <mergeCell ref="U5:V5"/>
    <mergeCell ref="R5:T5"/>
    <mergeCell ref="F8:M8"/>
    <mergeCell ref="U6:V6"/>
    <mergeCell ref="R6:T6"/>
    <mergeCell ref="C13:L13"/>
    <mergeCell ref="C14:L14"/>
    <mergeCell ref="C15:L15"/>
    <mergeCell ref="C16:L16"/>
    <mergeCell ref="B35:G35"/>
    <mergeCell ref="B36:G36"/>
    <mergeCell ref="H34:N34"/>
    <mergeCell ref="H36:N36"/>
    <mergeCell ref="O34:U34"/>
    <mergeCell ref="O35:U35"/>
    <mergeCell ref="L83:Q83"/>
    <mergeCell ref="L93:Q93"/>
    <mergeCell ref="Y8:AB8"/>
    <mergeCell ref="AB18:AG18"/>
    <mergeCell ref="AF13:AG13"/>
    <mergeCell ref="S8:T8"/>
    <mergeCell ref="V8:W8"/>
    <mergeCell ref="M11:M12"/>
    <mergeCell ref="AF11:AG12"/>
    <mergeCell ref="V37:AH37"/>
    <mergeCell ref="C27:H27"/>
    <mergeCell ref="J20:O20"/>
    <mergeCell ref="AF14:AG14"/>
    <mergeCell ref="AF15:AG15"/>
    <mergeCell ref="AF16:AG16"/>
    <mergeCell ref="V34:AH34"/>
    <mergeCell ref="J19:O19"/>
    <mergeCell ref="J23:O23"/>
    <mergeCell ref="C19:G19"/>
    <mergeCell ref="C20:G20"/>
    <mergeCell ref="C21:G21"/>
    <mergeCell ref="C22:G22"/>
    <mergeCell ref="J21:O21"/>
    <mergeCell ref="C25:G25"/>
    <mergeCell ref="C26:G26"/>
    <mergeCell ref="B31:O31"/>
    <mergeCell ref="B34:G34"/>
    <mergeCell ref="J24:O24"/>
    <mergeCell ref="J22:O22"/>
    <mergeCell ref="O28:P28"/>
    <mergeCell ref="C53:G53"/>
    <mergeCell ref="I54:J54"/>
    <mergeCell ref="A57:A59"/>
    <mergeCell ref="A67:A69"/>
    <mergeCell ref="A87:A89"/>
    <mergeCell ref="A97:A99"/>
    <mergeCell ref="B37:G37"/>
    <mergeCell ref="O37:U37"/>
    <mergeCell ref="B45:T46"/>
    <mergeCell ref="L63:Q63"/>
    <mergeCell ref="L53:Q53"/>
    <mergeCell ref="L73:Q73"/>
    <mergeCell ref="C93:G93"/>
    <mergeCell ref="A107:A109"/>
    <mergeCell ref="A117:A119"/>
    <mergeCell ref="A127:A129"/>
    <mergeCell ref="C63:G63"/>
    <mergeCell ref="I114:J114"/>
    <mergeCell ref="A77:A79"/>
    <mergeCell ref="C83:G83"/>
    <mergeCell ref="C123:G123"/>
    <mergeCell ref="I124:J124"/>
    <mergeCell ref="C73:G73"/>
    <mergeCell ref="I64:J64"/>
    <mergeCell ref="I74:J74"/>
    <mergeCell ref="I84:J84"/>
    <mergeCell ref="I94:J94"/>
    <mergeCell ref="I104:J104"/>
    <mergeCell ref="A148:C148"/>
    <mergeCell ref="L123:Q123"/>
    <mergeCell ref="O138:P138"/>
    <mergeCell ref="A140:A142"/>
    <mergeCell ref="O140:Q140"/>
    <mergeCell ref="O141:Q141"/>
    <mergeCell ref="O142:Q142"/>
    <mergeCell ref="A155:C155"/>
    <mergeCell ref="O155:Q155"/>
    <mergeCell ref="H155:I155"/>
    <mergeCell ref="A149:C149"/>
    <mergeCell ref="H148:I148"/>
    <mergeCell ref="O148:Q148"/>
    <mergeCell ref="O143:Q143"/>
    <mergeCell ref="C136:G136"/>
    <mergeCell ref="I137:J137"/>
    <mergeCell ref="H37:N37"/>
    <mergeCell ref="C103:G103"/>
    <mergeCell ref="O139:Q139"/>
    <mergeCell ref="H150:I150"/>
    <mergeCell ref="H151:I151"/>
    <mergeCell ref="A150:C150"/>
    <mergeCell ref="A151:C151"/>
    <mergeCell ref="H154:I154"/>
    <mergeCell ref="A154:C154"/>
    <mergeCell ref="H153:I153"/>
    <mergeCell ref="A153:C153"/>
    <mergeCell ref="O153:Q153"/>
    <mergeCell ref="O154:Q154"/>
    <mergeCell ref="L103:Q103"/>
    <mergeCell ref="L113:Q113"/>
    <mergeCell ref="H152:I152"/>
    <mergeCell ref="A152:C152"/>
    <mergeCell ref="O152:Q152"/>
    <mergeCell ref="O150:Q150"/>
    <mergeCell ref="O151:Q151"/>
    <mergeCell ref="C113:G113"/>
    <mergeCell ref="L136:R136"/>
    <mergeCell ref="H149:I149"/>
    <mergeCell ref="O149:Q149"/>
  </mergeCells>
  <conditionalFormatting sqref="A123:A131 C91:D91 B123:B130 A121 A16:AG16 A83:A91 B83:B90 B81 U26:AG26 A26:B26 U22:AG22 A22:B22 C131:D131 C83:D85 C123:D125 E83:K91 L84:N85 E123:K131 L124:N125 R83:S91 R123:S131 L91:N91 N86:N90 L131:N131 N126:N130 I22 I26 Q22 Q26">
    <cfRule type="expression" dxfId="36" priority="72" stopIfTrue="1">
      <formula>$M$6="x"</formula>
    </cfRule>
  </conditionalFormatting>
  <conditionalFormatting sqref="R19 T19">
    <cfRule type="expression" dxfId="35" priority="56" stopIfTrue="1">
      <formula>SUM($V$19:$Z$19,$AB$19:$AF$19)=0</formula>
    </cfRule>
  </conditionalFormatting>
  <conditionalFormatting sqref="R20 T20">
    <cfRule type="expression" dxfId="34" priority="54" stopIfTrue="1">
      <formula>SUM($V$20:$Z$20,$AB$20:$AF$20)=0</formula>
    </cfRule>
  </conditionalFormatting>
  <conditionalFormatting sqref="R21 T21">
    <cfRule type="expression" dxfId="33" priority="53" stopIfTrue="1">
      <formula>SUM($V$21:$Z$21,$AB$21:$AF$21)=0</formula>
    </cfRule>
  </conditionalFormatting>
  <conditionalFormatting sqref="R22 T22">
    <cfRule type="expression" dxfId="32" priority="52" stopIfTrue="1">
      <formula>SUM($V$22:$Z$22,$AB$22:$AF$22)=0</formula>
    </cfRule>
  </conditionalFormatting>
  <conditionalFormatting sqref="R23 T23">
    <cfRule type="expression" dxfId="31" priority="51" stopIfTrue="1">
      <formula>SUM($V$23:$Z$23,$AB$23:$AF$23)=0</formula>
    </cfRule>
  </conditionalFormatting>
  <conditionalFormatting sqref="R24 T24">
    <cfRule type="expression" dxfId="30" priority="50" stopIfTrue="1">
      <formula>SUM($V$24:$Z$24,$AB$24:$AF$24)=0</formula>
    </cfRule>
  </conditionalFormatting>
  <conditionalFormatting sqref="R25 T25">
    <cfRule type="expression" dxfId="29" priority="49" stopIfTrue="1">
      <formula>SUM($V$25:$Z$25,$AB$25:$AF$25)=0</formula>
    </cfRule>
  </conditionalFormatting>
  <conditionalFormatting sqref="R26 T26">
    <cfRule type="expression" dxfId="28" priority="48" stopIfTrue="1">
      <formula>SUM($V$26:$Z$26,$AB$26:$AF$26)=0</formula>
    </cfRule>
  </conditionalFormatting>
  <conditionalFormatting sqref="R27 T27 W31:AE31">
    <cfRule type="expression" dxfId="27" priority="31" stopIfTrue="1">
      <formula>SUM($R$19:$R$26,$T$19:$T$26)=0</formula>
    </cfRule>
  </conditionalFormatting>
  <conditionalFormatting sqref="A136:S144">
    <cfRule type="expression" dxfId="26" priority="25" stopIfTrue="1">
      <formula>$G$4&lt;&gt;"x"</formula>
    </cfRule>
  </conditionalFormatting>
  <conditionalFormatting sqref="L5 O34:O37">
    <cfRule type="cellIs" dxfId="25" priority="22" stopIfTrue="1" operator="equal">
      <formula>0</formula>
    </cfRule>
  </conditionalFormatting>
  <conditionalFormatting sqref="L6">
    <cfRule type="cellIs" dxfId="24" priority="21" stopIfTrue="1" operator="equal">
      <formula>0</formula>
    </cfRule>
  </conditionalFormatting>
  <conditionalFormatting sqref="B34:B37">
    <cfRule type="cellIs" dxfId="23" priority="19" stopIfTrue="1" operator="equal">
      <formula>0</formula>
    </cfRule>
  </conditionalFormatting>
  <conditionalFormatting sqref="B131">
    <cfRule type="expression" dxfId="22" priority="8" stopIfTrue="1">
      <formula>$M$6="x"</formula>
    </cfRule>
  </conditionalFormatting>
  <conditionalFormatting sqref="S26 S22">
    <cfRule type="expression" dxfId="21" priority="7" stopIfTrue="1">
      <formula>$M$6="x"</formula>
    </cfRule>
  </conditionalFormatting>
  <conditionalFormatting sqref="C89:D90">
    <cfRule type="expression" dxfId="20" priority="6" stopIfTrue="1">
      <formula>$M$6="x"</formula>
    </cfRule>
  </conditionalFormatting>
  <conditionalFormatting sqref="L89:L90 M86:M90">
    <cfRule type="expression" dxfId="19" priority="5" stopIfTrue="1">
      <formula>$M$6="x"</formula>
    </cfRule>
  </conditionalFormatting>
  <conditionalFormatting sqref="C129:D130">
    <cfRule type="expression" dxfId="18" priority="4" stopIfTrue="1">
      <formula>$M$6="x"</formula>
    </cfRule>
  </conditionalFormatting>
  <conditionalFormatting sqref="M126:M130 L129:L130">
    <cfRule type="expression" dxfId="17" priority="3" stopIfTrue="1">
      <formula>$M$6="x"</formula>
    </cfRule>
  </conditionalFormatting>
  <conditionalFormatting sqref="S28">
    <cfRule type="expression" dxfId="16" priority="2" stopIfTrue="1">
      <formula>$M$6="x"</formula>
    </cfRule>
  </conditionalFormatting>
  <conditionalFormatting sqref="T2">
    <cfRule type="cellIs" dxfId="15" priority="1" stopIfTrue="1" operator="equal">
      <formula>0</formula>
    </cfRule>
  </conditionalFormatting>
  <dataValidations count="2">
    <dataValidation type="list" allowBlank="1" showInputMessage="1" showErrorMessage="1" sqref="C13:L16" xr:uid="{00000000-0002-0000-0100-000000000000}">
      <formula1>$AO$10:$AO$13</formula1>
    </dataValidation>
    <dataValidation type="list" allowBlank="1" showInputMessage="1" showErrorMessage="1" sqref="O13:AE16" xr:uid="{00000000-0002-0000-0100-000001000000}">
      <formula1>$AR$10:$AR$13</formula1>
    </dataValidation>
  </dataValidations>
  <printOptions horizontalCentered="1" verticalCentered="1"/>
  <pageMargins left="0.19685039370078741" right="0.19685039370078741" top="0.35433070866141736" bottom="0.35433070866141736" header="0.15748031496062992" footer="0.51181102362204722"/>
  <pageSetup paperSize="9" scale="65" orientation="portrait" r:id="rId2"/>
  <headerFooter alignWithMargins="0"/>
  <ignoredErrors>
    <ignoredError sqref="J20:J21" 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  <pageSetUpPr fitToPage="1"/>
  </sheetPr>
  <dimension ref="A1:AW184"/>
  <sheetViews>
    <sheetView showGridLines="0" tabSelected="1" topLeftCell="A119" zoomScale="70" zoomScaleNormal="70" zoomScalePageLayoutView="55" workbookViewId="0">
      <selection activeCell="O129" sqref="O129"/>
    </sheetView>
  </sheetViews>
  <sheetFormatPr defaultColWidth="9.140625" defaultRowHeight="15.75" x14ac:dyDescent="0.25"/>
  <cols>
    <col min="1" max="1" width="2.5703125" style="6" customWidth="1"/>
    <col min="2" max="2" width="5.7109375" style="1" customWidth="1"/>
    <col min="3" max="3" width="6" style="1" customWidth="1"/>
    <col min="4" max="4" width="6.85546875" style="1" customWidth="1"/>
    <col min="5" max="5" width="7" style="1" customWidth="1"/>
    <col min="6" max="6" width="6.85546875" style="1" customWidth="1"/>
    <col min="7" max="7" width="7" style="1" customWidth="1"/>
    <col min="8" max="8" width="6.5703125" style="1" customWidth="1"/>
    <col min="9" max="9" width="2.85546875" style="9" customWidth="1"/>
    <col min="10" max="11" width="2.5703125" style="9" customWidth="1"/>
    <col min="12" max="13" width="7" style="9" customWidth="1"/>
    <col min="14" max="16" width="7" style="1" customWidth="1"/>
    <col min="17" max="17" width="4.7109375" style="1" customWidth="1"/>
    <col min="18" max="18" width="7" style="1" customWidth="1"/>
    <col min="19" max="19" width="2.5703125" style="1" customWidth="1"/>
    <col min="20" max="20" width="5.7109375" style="1" customWidth="1"/>
    <col min="21" max="21" width="2.140625" style="39" customWidth="1"/>
    <col min="22" max="26" width="3.85546875" style="1" bestFit="1" customWidth="1"/>
    <col min="27" max="27" width="1.140625" style="1" customWidth="1"/>
    <col min="28" max="29" width="4.28515625" style="1" customWidth="1"/>
    <col min="30" max="30" width="4.42578125" style="1" customWidth="1"/>
    <col min="31" max="31" width="3.85546875" style="1" customWidth="1"/>
    <col min="32" max="32" width="3.7109375" style="1" customWidth="1"/>
    <col min="33" max="33" width="2.28515625" style="1" customWidth="1"/>
    <col min="34" max="35" width="4" style="61" customWidth="1"/>
    <col min="36" max="37" width="9.140625" style="61"/>
    <col min="38" max="38" width="9.140625" style="39"/>
    <col min="39" max="39" width="9.140625" style="259"/>
    <col min="40" max="40" width="9.140625" style="39"/>
    <col min="41" max="41" width="9.140625" style="209"/>
    <col min="42" max="42" width="9.140625" style="259"/>
    <col min="43" max="47" width="9.140625" style="39"/>
    <col min="48" max="49" width="9.140625" style="214"/>
    <col min="50" max="16384" width="9.140625" style="1"/>
  </cols>
  <sheetData>
    <row r="1" spans="1:49" s="6" customFormat="1" ht="45" customHeight="1" x14ac:dyDescent="1">
      <c r="A1" s="42"/>
      <c r="B1" s="69"/>
      <c r="C1" s="69"/>
      <c r="D1" s="70"/>
      <c r="E1" s="70"/>
      <c r="F1" s="70"/>
      <c r="G1" s="70"/>
      <c r="I1" s="70"/>
      <c r="J1" s="10"/>
      <c r="K1" s="10"/>
      <c r="L1" s="10"/>
      <c r="M1" s="84" t="s">
        <v>31</v>
      </c>
      <c r="P1" s="70"/>
      <c r="Q1" s="70"/>
      <c r="R1" s="70"/>
      <c r="S1" s="70"/>
      <c r="T1" s="70"/>
      <c r="U1" s="85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80"/>
      <c r="AI1" s="80"/>
      <c r="AJ1" s="86" t="s">
        <v>7</v>
      </c>
      <c r="AK1" s="80"/>
      <c r="AL1" s="49"/>
      <c r="AM1" s="257"/>
      <c r="AN1" s="49"/>
      <c r="AO1" s="258"/>
      <c r="AP1" s="257"/>
      <c r="AQ1" s="49"/>
      <c r="AR1" s="49"/>
      <c r="AS1" s="281" t="s">
        <v>63</v>
      </c>
      <c r="AT1" s="49"/>
      <c r="AU1" s="49"/>
      <c r="AV1" s="243"/>
      <c r="AW1" s="243"/>
    </row>
    <row r="2" spans="1:49" ht="34.5" customHeight="1" x14ac:dyDescent="1">
      <c r="A2" s="42"/>
      <c r="B2" s="69"/>
      <c r="C2" s="69"/>
      <c r="D2" s="70"/>
      <c r="E2" s="70"/>
      <c r="F2" s="70"/>
      <c r="G2" s="70"/>
      <c r="H2" s="214"/>
      <c r="I2" s="437"/>
      <c r="J2" s="438"/>
      <c r="K2" s="438"/>
      <c r="M2" s="439"/>
      <c r="N2" s="440" t="s">
        <v>74</v>
      </c>
      <c r="Q2" s="441"/>
      <c r="R2" s="441"/>
      <c r="S2" s="442"/>
      <c r="T2" s="529"/>
      <c r="U2" s="529"/>
      <c r="V2" s="529"/>
      <c r="W2" s="529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58"/>
      <c r="AI2" s="58"/>
      <c r="AJ2" s="58"/>
      <c r="AK2" s="58"/>
    </row>
    <row r="3" spans="1:49" s="6" customFormat="1" ht="15.75" customHeight="1" x14ac:dyDescent="0.25">
      <c r="A3" s="42"/>
      <c r="B3" s="43"/>
      <c r="C3" s="43"/>
      <c r="D3" s="2"/>
      <c r="E3" s="2"/>
      <c r="F3" s="2"/>
      <c r="G3" s="2"/>
      <c r="H3" s="443"/>
      <c r="I3" s="252"/>
      <c r="J3" s="444"/>
      <c r="K3" s="444"/>
      <c r="L3" s="445"/>
      <c r="M3" s="446" t="s">
        <v>107</v>
      </c>
      <c r="N3" s="3"/>
      <c r="O3" s="3"/>
      <c r="P3" s="3"/>
      <c r="Q3" s="447">
        <f>IF(tilasto!C5="","",tilasto!C5)</f>
        <v>4</v>
      </c>
      <c r="R3" s="1" t="s">
        <v>105</v>
      </c>
      <c r="S3" s="3"/>
      <c r="T3" s="451">
        <f>IF(tilasto!F5="","",tilasto!F5)</f>
        <v>10</v>
      </c>
      <c r="U3" s="252"/>
      <c r="V3" s="252"/>
      <c r="W3" s="252"/>
      <c r="X3" s="41"/>
      <c r="Y3" s="41"/>
      <c r="Z3" s="19"/>
      <c r="AA3" s="19"/>
      <c r="AB3" s="19"/>
      <c r="AC3" s="19"/>
      <c r="AD3" s="19"/>
      <c r="AE3" s="19"/>
      <c r="AF3" s="19"/>
      <c r="AG3" s="19"/>
      <c r="AH3" s="59"/>
      <c r="AI3" s="59"/>
      <c r="AJ3" s="59"/>
      <c r="AK3" s="59"/>
      <c r="AL3" s="49"/>
      <c r="AM3" s="257"/>
      <c r="AN3" s="49"/>
      <c r="AO3" s="258"/>
      <c r="AP3" s="257"/>
      <c r="AQ3" s="49"/>
      <c r="AR3" s="49"/>
      <c r="AS3" s="49"/>
      <c r="AT3" s="49"/>
      <c r="AU3" s="49"/>
      <c r="AV3" s="243"/>
      <c r="AW3" s="243"/>
    </row>
    <row r="4" spans="1:49" s="6" customFormat="1" ht="24" customHeight="1" x14ac:dyDescent="0.3">
      <c r="A4" s="42"/>
      <c r="B4" s="42"/>
      <c r="C4" s="44"/>
      <c r="E4" s="23"/>
      <c r="F4" s="23"/>
      <c r="G4" s="242"/>
      <c r="H4" s="448"/>
      <c r="I4" s="214"/>
      <c r="J4" s="449" t="s">
        <v>76</v>
      </c>
      <c r="K4" s="450"/>
      <c r="L4" s="530">
        <f>tilasto!C7</f>
        <v>44583</v>
      </c>
      <c r="M4" s="530"/>
      <c r="N4" s="3" t="s">
        <v>34</v>
      </c>
      <c r="O4" s="1"/>
      <c r="P4" s="451" t="str">
        <f>IF(tilasto!C6="","",tilasto!C6)</f>
        <v>Pub Grönan, Hanko</v>
      </c>
      <c r="Q4" s="1"/>
      <c r="R4" s="1"/>
      <c r="S4" s="214"/>
      <c r="T4" s="214"/>
      <c r="U4" s="214"/>
      <c r="V4" s="452"/>
      <c r="W4" s="214"/>
      <c r="X4" s="5"/>
      <c r="Y4" s="5"/>
      <c r="AH4" s="60"/>
      <c r="AI4" s="60"/>
      <c r="AJ4" s="60"/>
      <c r="AK4" s="60"/>
      <c r="AL4" s="49"/>
      <c r="AM4" s="257"/>
      <c r="AN4" s="49"/>
      <c r="AO4" s="258"/>
      <c r="AP4" s="257"/>
      <c r="AQ4" s="49"/>
      <c r="AR4" s="49"/>
      <c r="AS4" s="49"/>
      <c r="AT4" s="49"/>
      <c r="AU4" s="49"/>
      <c r="AV4" s="243"/>
      <c r="AW4" s="243"/>
    </row>
    <row r="5" spans="1:49" s="6" customFormat="1" ht="24.75" hidden="1" customHeight="1" x14ac:dyDescent="0.3">
      <c r="A5" s="42"/>
      <c r="B5" s="42"/>
      <c r="C5" s="45"/>
      <c r="D5" s="20"/>
      <c r="E5" s="20"/>
      <c r="F5" s="23"/>
      <c r="G5" s="242"/>
      <c r="H5" s="5"/>
      <c r="I5" s="5"/>
      <c r="J5" s="40"/>
      <c r="K5" s="295"/>
      <c r="L5" s="298"/>
      <c r="M5" s="40"/>
      <c r="N5" s="181"/>
      <c r="O5" s="47"/>
      <c r="P5" s="46"/>
      <c r="Q5" s="46"/>
      <c r="R5" s="554"/>
      <c r="S5" s="555"/>
      <c r="T5" s="555"/>
      <c r="U5" s="536"/>
      <c r="V5" s="536"/>
      <c r="AH5" s="60"/>
      <c r="AI5" s="60"/>
      <c r="AJ5" s="60"/>
      <c r="AK5" s="60"/>
      <c r="AL5" s="49"/>
      <c r="AM5" s="257"/>
      <c r="AN5" s="49"/>
      <c r="AO5" s="258"/>
      <c r="AP5" s="257"/>
      <c r="AQ5" s="49"/>
      <c r="AR5" s="49"/>
      <c r="AS5" s="49"/>
      <c r="AT5" s="49"/>
      <c r="AU5" s="49"/>
      <c r="AV5" s="243"/>
      <c r="AW5" s="243"/>
    </row>
    <row r="6" spans="1:49" s="6" customFormat="1" ht="24.75" hidden="1" customHeight="1" x14ac:dyDescent="0.3">
      <c r="A6" s="42"/>
      <c r="C6" s="45"/>
      <c r="D6" s="20"/>
      <c r="E6" s="20"/>
      <c r="H6" s="5"/>
      <c r="I6" s="5"/>
      <c r="J6" s="40"/>
      <c r="K6" s="295"/>
      <c r="L6" s="535"/>
      <c r="M6" s="535"/>
      <c r="N6" s="535"/>
      <c r="O6" s="47"/>
      <c r="P6" s="46"/>
      <c r="Q6" s="46"/>
      <c r="R6" s="554"/>
      <c r="S6" s="555"/>
      <c r="T6" s="555"/>
      <c r="U6" s="536"/>
      <c r="V6" s="536"/>
      <c r="W6" s="244"/>
      <c r="AH6" s="60"/>
      <c r="AI6" s="60"/>
      <c r="AJ6" s="60"/>
      <c r="AK6" s="60"/>
      <c r="AL6" s="49"/>
      <c r="AM6" s="257"/>
      <c r="AN6" s="49"/>
      <c r="AO6" s="258"/>
      <c r="AP6" s="257"/>
      <c r="AQ6" s="49"/>
      <c r="AR6" s="49"/>
      <c r="AS6" s="49"/>
      <c r="AT6" s="49"/>
      <c r="AU6" s="49"/>
      <c r="AV6" s="243"/>
      <c r="AW6" s="243"/>
    </row>
    <row r="7" spans="1:49" ht="24" customHeight="1" x14ac:dyDescent="0.25">
      <c r="C7" s="256" t="s">
        <v>64</v>
      </c>
      <c r="D7" s="6"/>
      <c r="F7" s="6"/>
      <c r="G7" s="6"/>
      <c r="H7" s="6"/>
      <c r="I7" s="10"/>
      <c r="J7" s="10"/>
      <c r="K7" s="10"/>
      <c r="L7" s="10"/>
      <c r="M7" s="10"/>
      <c r="N7" s="5"/>
      <c r="O7" s="5"/>
      <c r="P7" s="5"/>
      <c r="Q7" s="5"/>
      <c r="R7" s="5"/>
      <c r="S7" s="5"/>
      <c r="T7" s="5"/>
      <c r="U7" s="49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49" s="3" customFormat="1" ht="9.75" hidden="1" customHeight="1" x14ac:dyDescent="0.35">
      <c r="A8" s="42"/>
      <c r="B8" s="53"/>
      <c r="C8" s="43"/>
      <c r="D8" s="2"/>
      <c r="E8" s="20"/>
      <c r="F8" s="539"/>
      <c r="G8" s="540"/>
      <c r="H8" s="540"/>
      <c r="I8" s="540"/>
      <c r="J8" s="540"/>
      <c r="K8" s="540"/>
      <c r="L8" s="540"/>
      <c r="M8" s="540"/>
      <c r="N8" s="54"/>
      <c r="P8" s="330"/>
      <c r="Q8" s="330"/>
      <c r="R8" s="331"/>
      <c r="S8" s="332"/>
      <c r="T8" s="332"/>
      <c r="U8" s="333"/>
      <c r="V8" s="332"/>
      <c r="W8" s="332"/>
      <c r="X8" s="333"/>
      <c r="Y8" s="332"/>
      <c r="Z8" s="334"/>
      <c r="AA8" s="334"/>
      <c r="AB8" s="334"/>
      <c r="AC8" s="335"/>
      <c r="AD8" s="335"/>
      <c r="AE8" s="335"/>
      <c r="AF8" s="335"/>
      <c r="AG8" s="6"/>
      <c r="AH8" s="61"/>
      <c r="AI8" s="61"/>
      <c r="AJ8" s="61"/>
      <c r="AK8" s="61"/>
      <c r="AL8" s="249"/>
      <c r="AM8" s="260"/>
      <c r="AN8" s="249"/>
      <c r="AO8" s="261"/>
      <c r="AP8" s="260"/>
      <c r="AQ8" s="249"/>
      <c r="AR8" s="249"/>
      <c r="AS8" s="249"/>
      <c r="AT8" s="249"/>
      <c r="AU8" s="249"/>
      <c r="AV8" s="252"/>
      <c r="AW8" s="252"/>
    </row>
    <row r="9" spans="1:49" s="4" customFormat="1" ht="32.25" customHeight="1" x14ac:dyDescent="0.25">
      <c r="A9" s="54"/>
      <c r="B9" s="309" t="str">
        <f>IF(tilasto!B21=0,"",tilasto!B21)</f>
        <v>Ohari DC 2</v>
      </c>
      <c r="C9" s="313"/>
      <c r="D9" s="313"/>
      <c r="E9" s="313"/>
      <c r="F9" s="313"/>
      <c r="G9" s="313"/>
      <c r="H9" s="313"/>
      <c r="I9" s="313"/>
      <c r="J9" s="313"/>
      <c r="K9" s="314"/>
      <c r="L9" s="314"/>
      <c r="M9" s="471"/>
      <c r="N9" s="54"/>
      <c r="O9" s="410" t="str">
        <f>IF(tilasto!B8="","",tilasto!B8)</f>
        <v>Grönan DC 2</v>
      </c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57"/>
      <c r="AG9" s="457"/>
      <c r="AH9" s="62"/>
      <c r="AI9" s="62"/>
      <c r="AJ9" s="62"/>
      <c r="AK9" s="62"/>
      <c r="AL9" s="206"/>
      <c r="AM9" s="262"/>
      <c r="AN9" s="206"/>
      <c r="AO9" s="208"/>
      <c r="AP9" s="262"/>
      <c r="AQ9" s="206"/>
      <c r="AR9" s="206"/>
      <c r="AS9" s="206"/>
      <c r="AT9" s="206"/>
      <c r="AU9" s="206"/>
      <c r="AV9" s="213"/>
      <c r="AW9" s="213"/>
    </row>
    <row r="10" spans="1:49" s="4" customFormat="1" ht="15" customHeight="1" x14ac:dyDescent="0.25">
      <c r="A10" s="5"/>
      <c r="B10" s="6" t="s">
        <v>82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 t="s">
        <v>50</v>
      </c>
      <c r="P10" s="5"/>
      <c r="Q10" s="5"/>
      <c r="R10" s="5"/>
      <c r="S10" s="5"/>
      <c r="T10" s="5"/>
      <c r="U10" s="48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3"/>
      <c r="AI10" s="63"/>
      <c r="AJ10" s="63"/>
      <c r="AK10" s="63"/>
      <c r="AL10" s="206"/>
      <c r="AM10" s="262"/>
      <c r="AN10" s="206"/>
      <c r="AO10" s="208"/>
      <c r="AP10" s="262"/>
      <c r="AQ10" s="206"/>
      <c r="AR10" s="208" t="str">
        <f>IF(tilasto!B24=0,"",tilasto!B24)</f>
        <v>Nevalainen Ari</v>
      </c>
      <c r="AS10" s="206"/>
      <c r="AT10" s="206"/>
      <c r="AU10" s="206"/>
      <c r="AV10" s="213"/>
      <c r="AW10" s="213"/>
    </row>
    <row r="11" spans="1:49" x14ac:dyDescent="0.25">
      <c r="A11" s="5"/>
      <c r="C11" s="5"/>
      <c r="D11" s="5"/>
      <c r="E11" s="5"/>
      <c r="F11" s="5"/>
      <c r="G11" s="5"/>
      <c r="H11" s="52"/>
      <c r="I11" s="5"/>
      <c r="J11" s="10"/>
      <c r="K11" s="10"/>
      <c r="M11" s="526"/>
      <c r="N11" s="52"/>
      <c r="O11" s="5"/>
      <c r="P11" s="5"/>
      <c r="Q11" s="5"/>
      <c r="R11" s="5"/>
      <c r="S11" s="5"/>
      <c r="T11" s="5"/>
      <c r="U11" s="48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26"/>
      <c r="AG11" s="528"/>
      <c r="AH11" s="63"/>
      <c r="AI11" s="63"/>
      <c r="AJ11" s="63"/>
      <c r="AK11" s="63"/>
      <c r="AO11" s="208"/>
      <c r="AR11" s="208" t="str">
        <f>IF(tilasto!B25=0,"",tilasto!B25)</f>
        <v>Partanen Jarkko</v>
      </c>
    </row>
    <row r="12" spans="1:49" ht="27.75" hidden="1" customHeight="1" x14ac:dyDescent="0.25">
      <c r="B12" s="22"/>
      <c r="C12" s="56"/>
      <c r="D12" s="56"/>
      <c r="E12" s="56"/>
      <c r="F12" s="56"/>
      <c r="G12" s="56"/>
      <c r="H12" s="6"/>
      <c r="I12" s="6"/>
      <c r="J12" s="10"/>
      <c r="K12" s="10"/>
      <c r="M12" s="527"/>
      <c r="O12" s="33"/>
      <c r="P12" s="6"/>
      <c r="Q12" s="6"/>
      <c r="R12" s="6"/>
      <c r="S12" s="6"/>
      <c r="T12" s="6"/>
      <c r="U12" s="49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527"/>
      <c r="AG12" s="528"/>
      <c r="AM12" s="250" t="s">
        <v>50</v>
      </c>
      <c r="AP12" s="250" t="s">
        <v>33</v>
      </c>
      <c r="AR12" s="208" t="str">
        <f>IF(tilasto!B26=0,"",tilasto!B26)</f>
        <v>Mantila Petri</v>
      </c>
    </row>
    <row r="13" spans="1:49" ht="30" customHeight="1" x14ac:dyDescent="0.25">
      <c r="B13" s="7">
        <v>1</v>
      </c>
      <c r="C13" s="531" t="str">
        <f>AP13</f>
        <v>Nevalainen Ari</v>
      </c>
      <c r="D13" s="551"/>
      <c r="E13" s="551"/>
      <c r="F13" s="551"/>
      <c r="G13" s="551"/>
      <c r="H13" s="551"/>
      <c r="I13" s="551"/>
      <c r="J13" s="551"/>
      <c r="K13" s="551"/>
      <c r="L13" s="551"/>
      <c r="M13" s="454"/>
      <c r="N13" s="6"/>
      <c r="O13" s="239">
        <v>1</v>
      </c>
      <c r="P13" s="552" t="str">
        <f>AM13</f>
        <v>Lindholm Tobias</v>
      </c>
      <c r="Q13" s="553"/>
      <c r="R13" s="553"/>
      <c r="S13" s="553"/>
      <c r="T13" s="553"/>
      <c r="U13" s="553"/>
      <c r="V13" s="553"/>
      <c r="W13" s="553"/>
      <c r="X13" s="553"/>
      <c r="Y13" s="553"/>
      <c r="Z13" s="553"/>
      <c r="AA13" s="553"/>
      <c r="AB13" s="553"/>
      <c r="AC13" s="553"/>
      <c r="AD13" s="553"/>
      <c r="AE13" s="553"/>
      <c r="AF13" s="524"/>
      <c r="AG13" s="525"/>
      <c r="AL13" s="209">
        <v>1</v>
      </c>
      <c r="AM13" s="263" t="str">
        <f>'Ottelu 1'!AP13</f>
        <v>Lindholm Tobias</v>
      </c>
      <c r="AO13" s="208">
        <v>1</v>
      </c>
      <c r="AP13" s="263" t="str">
        <f>'Ottelu 1'!AL13</f>
        <v>Nevalainen Ari</v>
      </c>
      <c r="AR13" s="208" t="str">
        <f>IF(tilasto!B27=0,"",tilasto!B27)</f>
        <v>Lokkinen Marko</v>
      </c>
    </row>
    <row r="14" spans="1:49" ht="30" customHeight="1" x14ac:dyDescent="0.25">
      <c r="B14" s="8">
        <v>2</v>
      </c>
      <c r="C14" s="531" t="str">
        <f>AP18</f>
        <v>Partanen Jarkko</v>
      </c>
      <c r="D14" s="551"/>
      <c r="E14" s="551"/>
      <c r="F14" s="551"/>
      <c r="G14" s="551"/>
      <c r="H14" s="551"/>
      <c r="I14" s="551"/>
      <c r="J14" s="551"/>
      <c r="K14" s="551"/>
      <c r="L14" s="551"/>
      <c r="M14" s="454"/>
      <c r="N14" s="6"/>
      <c r="O14" s="240">
        <v>2</v>
      </c>
      <c r="P14" s="556" t="str">
        <f>AM18</f>
        <v>Holmström Bjarne</v>
      </c>
      <c r="Q14" s="557"/>
      <c r="R14" s="557"/>
      <c r="S14" s="557"/>
      <c r="T14" s="557"/>
      <c r="U14" s="557"/>
      <c r="V14" s="557"/>
      <c r="W14" s="557"/>
      <c r="X14" s="557"/>
      <c r="Y14" s="557"/>
      <c r="Z14" s="557"/>
      <c r="AA14" s="557"/>
      <c r="AB14" s="557"/>
      <c r="AC14" s="557"/>
      <c r="AD14" s="557"/>
      <c r="AE14" s="557"/>
      <c r="AF14" s="524"/>
      <c r="AG14" s="525"/>
      <c r="AM14" s="259">
        <f>tilasto!B15</f>
        <v>0</v>
      </c>
      <c r="AO14" s="208"/>
      <c r="AP14" s="259">
        <f>tilasto!B28</f>
        <v>0</v>
      </c>
      <c r="AR14" s="208" t="str">
        <f>IF(tilasto!B28=0,"",tilasto!B28)</f>
        <v/>
      </c>
    </row>
    <row r="15" spans="1:49" ht="30" customHeight="1" x14ac:dyDescent="0.25">
      <c r="B15" s="8">
        <v>3</v>
      </c>
      <c r="C15" s="533" t="str">
        <f>AP23</f>
        <v>Mantila Petri</v>
      </c>
      <c r="D15" s="558"/>
      <c r="E15" s="558"/>
      <c r="F15" s="558"/>
      <c r="G15" s="558"/>
      <c r="H15" s="558"/>
      <c r="I15" s="558"/>
      <c r="J15" s="558"/>
      <c r="K15" s="558"/>
      <c r="L15" s="558"/>
      <c r="M15" s="454"/>
      <c r="N15" s="6"/>
      <c r="O15" s="240">
        <v>3</v>
      </c>
      <c r="P15" s="556" t="str">
        <f>AM23</f>
        <v>Aho Jarno</v>
      </c>
      <c r="Q15" s="557"/>
      <c r="R15" s="557"/>
      <c r="S15" s="557"/>
      <c r="T15" s="557"/>
      <c r="U15" s="557"/>
      <c r="V15" s="557"/>
      <c r="W15" s="557"/>
      <c r="X15" s="557"/>
      <c r="Y15" s="557"/>
      <c r="Z15" s="557"/>
      <c r="AA15" s="557"/>
      <c r="AB15" s="557"/>
      <c r="AC15" s="557"/>
      <c r="AD15" s="557"/>
      <c r="AE15" s="557"/>
      <c r="AF15" s="524"/>
      <c r="AG15" s="525"/>
      <c r="AM15" s="259">
        <f>tilasto!B16</f>
        <v>0</v>
      </c>
      <c r="AO15" s="208"/>
      <c r="AP15" s="259">
        <f>tilasto!B29</f>
        <v>0</v>
      </c>
      <c r="AR15" s="208" t="str">
        <f>IF(tilasto!B29=0,"",tilasto!B29)</f>
        <v/>
      </c>
    </row>
    <row r="16" spans="1:49" ht="30" customHeight="1" x14ac:dyDescent="0.25">
      <c r="B16" s="8">
        <v>4</v>
      </c>
      <c r="C16" s="533" t="str">
        <f>AP28</f>
        <v>Lokkinen Marko</v>
      </c>
      <c r="D16" s="558"/>
      <c r="E16" s="558"/>
      <c r="F16" s="558"/>
      <c r="G16" s="558"/>
      <c r="H16" s="558"/>
      <c r="I16" s="558"/>
      <c r="J16" s="558"/>
      <c r="K16" s="558"/>
      <c r="L16" s="558"/>
      <c r="M16" s="454"/>
      <c r="N16" s="6"/>
      <c r="O16" s="240">
        <v>4</v>
      </c>
      <c r="P16" s="556" t="str">
        <f>AM28</f>
        <v>Nyholm Mikael</v>
      </c>
      <c r="Q16" s="557"/>
      <c r="R16" s="557"/>
      <c r="S16" s="557"/>
      <c r="T16" s="557"/>
      <c r="U16" s="557"/>
      <c r="V16" s="557"/>
      <c r="W16" s="557"/>
      <c r="X16" s="557"/>
      <c r="Y16" s="557"/>
      <c r="Z16" s="557"/>
      <c r="AA16" s="557"/>
      <c r="AB16" s="557"/>
      <c r="AC16" s="557"/>
      <c r="AD16" s="557"/>
      <c r="AE16" s="557"/>
      <c r="AF16" s="524"/>
      <c r="AG16" s="525"/>
      <c r="AM16" s="259">
        <f>tilasto!B17</f>
        <v>0</v>
      </c>
      <c r="AO16" s="208"/>
      <c r="AP16" s="259">
        <f>tilasto!B30</f>
        <v>0</v>
      </c>
      <c r="AR16" s="208" t="str">
        <f>IF(tilasto!B30=0,"",tilasto!B30)</f>
        <v/>
      </c>
    </row>
    <row r="17" spans="1:49" ht="14.25" customHeight="1" x14ac:dyDescent="0.25">
      <c r="B17" s="6"/>
      <c r="C17" s="6"/>
      <c r="D17" s="6"/>
      <c r="E17" s="6"/>
      <c r="F17" s="6"/>
      <c r="G17" s="6"/>
      <c r="H17" s="5"/>
      <c r="I17" s="6"/>
      <c r="J17" s="6"/>
      <c r="K17" s="6"/>
      <c r="L17" s="6"/>
      <c r="M17" s="6"/>
      <c r="N17" s="5"/>
      <c r="O17" s="6"/>
      <c r="P17" s="6"/>
      <c r="Q17" s="6"/>
      <c r="R17" s="49"/>
      <c r="S17" s="6"/>
      <c r="T17" s="49"/>
      <c r="U17" s="49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M17" s="259">
        <f>tilasto!B18</f>
        <v>0</v>
      </c>
      <c r="AO17" s="208"/>
      <c r="AP17" s="259">
        <f>tilasto!B31</f>
        <v>0</v>
      </c>
      <c r="AR17" s="208" t="str">
        <f>IF(tilasto!B31=0,"",tilasto!B31)</f>
        <v/>
      </c>
    </row>
    <row r="18" spans="1:49" ht="14.25" customHeight="1" x14ac:dyDescent="0.25">
      <c r="A18" s="330" t="str">
        <f>CONCATENATE(B9," aloittaa x:llä merkityt")</f>
        <v>Ohari DC 2 aloittaa x:llä merkityt</v>
      </c>
      <c r="B18" s="6"/>
      <c r="C18" s="6"/>
      <c r="D18" s="6"/>
      <c r="E18" s="6"/>
      <c r="F18" s="6"/>
      <c r="G18" s="6"/>
      <c r="H18" s="472" t="s">
        <v>106</v>
      </c>
      <c r="I18" s="10"/>
      <c r="J18" s="10"/>
      <c r="K18" s="10"/>
      <c r="L18" s="10"/>
      <c r="M18" s="10"/>
      <c r="N18" s="6"/>
      <c r="O18" s="6"/>
      <c r="P18" s="473" t="s">
        <v>106</v>
      </c>
      <c r="Q18" s="18"/>
      <c r="R18" s="6"/>
      <c r="S18" s="18" t="s">
        <v>5</v>
      </c>
      <c r="T18" s="18"/>
      <c r="U18" s="50"/>
      <c r="V18" s="29"/>
      <c r="W18" s="29"/>
      <c r="X18" s="29"/>
      <c r="Y18" s="29"/>
      <c r="Z18" s="29"/>
      <c r="AA18" s="18"/>
      <c r="AB18" s="522"/>
      <c r="AC18" s="522"/>
      <c r="AD18" s="522"/>
      <c r="AE18" s="523"/>
      <c r="AF18" s="523"/>
      <c r="AG18" s="523"/>
      <c r="AL18" s="209">
        <v>2</v>
      </c>
      <c r="AM18" s="263" t="str">
        <f>'Ottelu 1'!AP14</f>
        <v>Holmström Bjarne</v>
      </c>
      <c r="AO18" s="209">
        <v>2</v>
      </c>
      <c r="AP18" s="263" t="str">
        <f>'Ottelu 1'!AL14</f>
        <v>Partanen Jarkko</v>
      </c>
    </row>
    <row r="19" spans="1:49" ht="30" customHeight="1" x14ac:dyDescent="0.3">
      <c r="A19" s="24" t="str">
        <f>IF($M$6="x","x","x")</f>
        <v>x</v>
      </c>
      <c r="B19" s="24" t="str">
        <f>IF($M$6="x","1 - 1","1 - 3")</f>
        <v>1 - 3</v>
      </c>
      <c r="C19" s="515" t="str">
        <f>IF(C13=0,"",C13)</f>
        <v>Nevalainen Ari</v>
      </c>
      <c r="D19" s="515"/>
      <c r="E19" s="515"/>
      <c r="F19" s="515"/>
      <c r="G19" s="516"/>
      <c r="H19" s="469">
        <f>IF(C56=0,"",SUM(E56:E60)/SUM(C56:C60))</f>
        <v>20.875</v>
      </c>
      <c r="I19" s="34" t="s">
        <v>8</v>
      </c>
      <c r="J19" s="515" t="str">
        <f>IF($M$6="x",IF(P15=0,"",P15),IF(P15=0,"",P15))</f>
        <v>Aho Jarno</v>
      </c>
      <c r="K19" s="515"/>
      <c r="L19" s="515"/>
      <c r="M19" s="515"/>
      <c r="N19" s="515"/>
      <c r="O19" s="516"/>
      <c r="P19" s="469">
        <f>IF(L56=0,"",SUM(N56:N60)/SUM(L56:L60))</f>
        <v>15.376811594202898</v>
      </c>
      <c r="Q19" s="128"/>
      <c r="R19" s="88">
        <f>IF(C19="","",COUNT(V19:Z19))</f>
        <v>3</v>
      </c>
      <c r="S19" s="89" t="s">
        <v>8</v>
      </c>
      <c r="T19" s="88">
        <f>IF(J19&lt;&gt;"",COUNT(AB19:AF19),"")</f>
        <v>0</v>
      </c>
      <c r="U19" s="25" t="s">
        <v>9</v>
      </c>
      <c r="V19" s="474">
        <f>IF(E56=501,C56,IF(AI19="l",1,""))</f>
        <v>27</v>
      </c>
      <c r="W19" s="474">
        <f>IF(E57=501,C57,IF(AI19="l",1,""))</f>
        <v>18</v>
      </c>
      <c r="X19" s="474">
        <f>IF(E58=501,C58,IF(AI19="l",1,""))</f>
        <v>27</v>
      </c>
      <c r="Y19" s="474" t="str">
        <f>IF(E59=501,C59,"")</f>
        <v/>
      </c>
      <c r="Z19" s="474" t="str">
        <f>IF(E60=501,C60,"")</f>
        <v/>
      </c>
      <c r="AA19" s="15" t="s">
        <v>8</v>
      </c>
      <c r="AB19" s="475" t="str">
        <f>IF(N56=501,L56,IF(AH19="l",1,""))</f>
        <v/>
      </c>
      <c r="AC19" s="475" t="str">
        <f>IF(N57=501,L57,IF(AH19="l",1,""))</f>
        <v/>
      </c>
      <c r="AD19" s="475" t="str">
        <f>IF(N58=501,L58,IF(AH19="l",1,""))</f>
        <v/>
      </c>
      <c r="AE19" s="475" t="str">
        <f>IF(N59=501,L59,"")</f>
        <v/>
      </c>
      <c r="AF19" s="475" t="str">
        <f>IF(N60=501,L60,"")</f>
        <v/>
      </c>
      <c r="AG19" s="26" t="s">
        <v>10</v>
      </c>
      <c r="AH19" s="169">
        <f>H54</f>
        <v>0</v>
      </c>
      <c r="AI19" s="169">
        <f>I54</f>
        <v>0</v>
      </c>
      <c r="AJ19" s="60" t="str">
        <f>IF(C19&lt;&gt;"",IF(J19&lt;&gt;"","Ok","-"),"-")</f>
        <v>Ok</v>
      </c>
      <c r="AK19" s="61" t="str">
        <f>IF(AND(AJ19="ok",R19&lt;3),IF(AND(AJ19="ok",T19&lt;3),"ei pelitietoja","-"),"-")</f>
        <v>-</v>
      </c>
      <c r="AM19" s="259">
        <f>tilasto!B15</f>
        <v>0</v>
      </c>
      <c r="AP19" s="259">
        <f>tilasto!B28</f>
        <v>0</v>
      </c>
    </row>
    <row r="20" spans="1:49" ht="30" customHeight="1" x14ac:dyDescent="0.3">
      <c r="A20" s="24" t="str">
        <f>IF($M$6="x","","")</f>
        <v/>
      </c>
      <c r="B20" s="24" t="str">
        <f>IF($M$6="x","2 - 2","2 - 4")</f>
        <v>2 - 4</v>
      </c>
      <c r="C20" s="515" t="str">
        <f>IF(C14=0,"",C14)</f>
        <v>Partanen Jarkko</v>
      </c>
      <c r="D20" s="515"/>
      <c r="E20" s="515"/>
      <c r="F20" s="515"/>
      <c r="G20" s="516"/>
      <c r="H20" s="469">
        <f>IF(C66=0,"",SUM(E66:E70)/SUM(C66:C70))</f>
        <v>12.850574712643677</v>
      </c>
      <c r="I20" s="34" t="s">
        <v>8</v>
      </c>
      <c r="J20" s="515" t="str">
        <f>IF($M$6="x",IF(P14=0,"",P14),IF(P16=0,"",P16))</f>
        <v>Nyholm Mikael</v>
      </c>
      <c r="K20" s="515"/>
      <c r="L20" s="515"/>
      <c r="M20" s="515"/>
      <c r="N20" s="515"/>
      <c r="O20" s="516"/>
      <c r="P20" s="469">
        <f>IF(L66=0,"",SUM(N66:N70)/SUM(L66:L70))</f>
        <v>16.887640449438202</v>
      </c>
      <c r="Q20" s="128"/>
      <c r="R20" s="88">
        <f t="shared" ref="R20:R26" si="0">IF(C20="","",COUNT(V20:Z20))</f>
        <v>0</v>
      </c>
      <c r="S20" s="89" t="s">
        <v>8</v>
      </c>
      <c r="T20" s="88">
        <f t="shared" ref="T20:T26" si="1">IF(J20&lt;&gt;"",COUNT(AB20:AF20),"")</f>
        <v>3</v>
      </c>
      <c r="U20" s="25" t="s">
        <v>9</v>
      </c>
      <c r="V20" s="474" t="str">
        <f>IF(E66=501,C66,IF(AI20="l",1,""))</f>
        <v/>
      </c>
      <c r="W20" s="474" t="str">
        <f>IF(E67=501,C67,IF(AI20="l",1,""))</f>
        <v/>
      </c>
      <c r="X20" s="474" t="str">
        <f>IF(E68=501,C68,IF(AI20="l",1,""))</f>
        <v/>
      </c>
      <c r="Y20" s="474" t="str">
        <f>IF(E69=501,C69,"")</f>
        <v/>
      </c>
      <c r="Z20" s="474" t="str">
        <f>IF(E70=501,C70,"")</f>
        <v/>
      </c>
      <c r="AA20" s="15" t="s">
        <v>8</v>
      </c>
      <c r="AB20" s="475">
        <f>IF(N66=501,L66,IF(AH20="l",1,""))</f>
        <v>35</v>
      </c>
      <c r="AC20" s="475">
        <f>IF(N67=501,L67,IF(AH20="l",1,""))</f>
        <v>25</v>
      </c>
      <c r="AD20" s="475">
        <f>IF(N68=501,L68,IF(AH20="l",1,""))</f>
        <v>29</v>
      </c>
      <c r="AE20" s="475" t="str">
        <f>IF(N69=501,L69,"")</f>
        <v/>
      </c>
      <c r="AF20" s="475" t="str">
        <f>IF(N70=501,L70,"")</f>
        <v/>
      </c>
      <c r="AG20" s="26" t="s">
        <v>10</v>
      </c>
      <c r="AH20" s="169">
        <f>H64</f>
        <v>0</v>
      </c>
      <c r="AI20" s="169">
        <f>I64</f>
        <v>0</v>
      </c>
      <c r="AJ20" s="60" t="str">
        <f t="shared" ref="AJ20:AJ26" si="2">IF(C20&lt;&gt;"",IF(J20&lt;&gt;"","Ok","-"),"-")</f>
        <v>Ok</v>
      </c>
      <c r="AK20" s="61" t="str">
        <f t="shared" ref="AK20:AK26" si="3">IF(AND(AJ20="ok",R20&lt;3),IF(AND(AJ20="ok",T20&lt;3),"ei pelitietoja","-"),"-")</f>
        <v>-</v>
      </c>
      <c r="AM20" s="259">
        <f>tilasto!B16</f>
        <v>0</v>
      </c>
      <c r="AP20" s="259">
        <f>tilasto!B29</f>
        <v>0</v>
      </c>
    </row>
    <row r="21" spans="1:49" ht="30" customHeight="1" x14ac:dyDescent="0.3">
      <c r="A21" s="24" t="str">
        <f>IF($M$6="x","x","x")</f>
        <v>x</v>
      </c>
      <c r="B21" s="24" t="str">
        <f>IF($M$6="x","3 - 3","3 - 1")</f>
        <v>3 - 1</v>
      </c>
      <c r="C21" s="515" t="str">
        <f>IF(C15=0,"",C15)</f>
        <v>Mantila Petri</v>
      </c>
      <c r="D21" s="515"/>
      <c r="E21" s="515"/>
      <c r="F21" s="515"/>
      <c r="G21" s="516"/>
      <c r="H21" s="469">
        <f>IF(C76=0,"",SUM(E76:E80)/SUM(C76:C80))</f>
        <v>15.46218487394958</v>
      </c>
      <c r="I21" s="34" t="s">
        <v>8</v>
      </c>
      <c r="J21" s="515" t="str">
        <f>IF($M$6="x",IF(P15=0,"",P15),IF(P13=0,"",P13))</f>
        <v>Lindholm Tobias</v>
      </c>
      <c r="K21" s="515"/>
      <c r="L21" s="515"/>
      <c r="M21" s="515"/>
      <c r="N21" s="515"/>
      <c r="O21" s="516"/>
      <c r="P21" s="469">
        <f>IF(L76=0,"",SUM(N76:N80)/SUM(L76:L80))</f>
        <v>15.868852459016393</v>
      </c>
      <c r="Q21" s="128"/>
      <c r="R21" s="88">
        <f t="shared" si="0"/>
        <v>1</v>
      </c>
      <c r="S21" s="89" t="s">
        <v>8</v>
      </c>
      <c r="T21" s="88">
        <f>IF(J21&lt;&gt;"",COUNT(AB21:AF21),"")</f>
        <v>3</v>
      </c>
      <c r="U21" s="25" t="s">
        <v>9</v>
      </c>
      <c r="V21" s="474">
        <f>IF(E76=501,C76,IF(AI21="l",1,""))</f>
        <v>26</v>
      </c>
      <c r="W21" s="474" t="str">
        <f>IF(E77=501,C77,IF(AI21="l",1,""))</f>
        <v/>
      </c>
      <c r="X21" s="474" t="str">
        <f>IF(E78=501,C78,IF(AI21="l",1,""))</f>
        <v/>
      </c>
      <c r="Y21" s="474" t="str">
        <f>IF(E79=501,C79,"")</f>
        <v/>
      </c>
      <c r="Z21" s="474" t="str">
        <f>IF(E80=501,C80,"")</f>
        <v/>
      </c>
      <c r="AA21" s="15" t="s">
        <v>8</v>
      </c>
      <c r="AB21" s="475" t="str">
        <f>IF(N76=501,L76,IF(AH21="l",1,""))</f>
        <v/>
      </c>
      <c r="AC21" s="475">
        <f>IF(N77=501,L77,IF(AH21="l",1,""))</f>
        <v>38</v>
      </c>
      <c r="AD21" s="475">
        <f>IF(N78=501,L78,IF(AH21="l",1,""))</f>
        <v>24</v>
      </c>
      <c r="AE21" s="475">
        <f>IF(N79=501,L79,"")</f>
        <v>36</v>
      </c>
      <c r="AF21" s="475" t="str">
        <f>IF(N80=501,L80,"")</f>
        <v/>
      </c>
      <c r="AG21" s="26" t="s">
        <v>10</v>
      </c>
      <c r="AH21" s="169">
        <f>H74</f>
        <v>0</v>
      </c>
      <c r="AI21" s="169">
        <f>I74</f>
        <v>0</v>
      </c>
      <c r="AJ21" s="60" t="str">
        <f t="shared" si="2"/>
        <v>Ok</v>
      </c>
      <c r="AK21" s="61" t="str">
        <f t="shared" si="3"/>
        <v>-</v>
      </c>
      <c r="AM21" s="259">
        <f>tilasto!B17</f>
        <v>0</v>
      </c>
      <c r="AP21" s="259">
        <f>tilasto!B30</f>
        <v>0</v>
      </c>
    </row>
    <row r="22" spans="1:49" ht="30" customHeight="1" x14ac:dyDescent="0.3">
      <c r="A22" s="24" t="str">
        <f>IF($M$6="x","","")</f>
        <v/>
      </c>
      <c r="B22" s="24" t="str">
        <f>IF($M$6="x","","4 - 2")</f>
        <v>4 - 2</v>
      </c>
      <c r="C22" s="515" t="str">
        <f>IF(C16=0,"",C16)</f>
        <v>Lokkinen Marko</v>
      </c>
      <c r="D22" s="515"/>
      <c r="E22" s="515"/>
      <c r="F22" s="515"/>
      <c r="G22" s="516"/>
      <c r="H22" s="469">
        <f>IF(C86=0,"",SUM(E86:E90)/SUM(C86:C90))</f>
        <v>15.179012345679013</v>
      </c>
      <c r="I22" s="34" t="s">
        <v>8</v>
      </c>
      <c r="J22" s="515" t="str">
        <f>IF($M$6="x",IF(P16=0,"",P16),IF(P14=0,"",P14))</f>
        <v>Holmström Bjarne</v>
      </c>
      <c r="K22" s="515"/>
      <c r="L22" s="515"/>
      <c r="M22" s="515"/>
      <c r="N22" s="515"/>
      <c r="O22" s="516"/>
      <c r="P22" s="469">
        <f>IF(L86=0,"",SUM(N86:N90)/SUM(L86:L90))</f>
        <v>14.381818181818181</v>
      </c>
      <c r="Q22" s="128"/>
      <c r="R22" s="88">
        <f t="shared" si="0"/>
        <v>2</v>
      </c>
      <c r="S22" s="89" t="s">
        <v>8</v>
      </c>
      <c r="T22" s="88">
        <f t="shared" si="1"/>
        <v>3</v>
      </c>
      <c r="U22" s="25" t="s">
        <v>9</v>
      </c>
      <c r="V22" s="474" t="str">
        <f>IF(E86=501,C86,IF(AI22="l",1,""))</f>
        <v/>
      </c>
      <c r="W22" s="474" t="str">
        <f>IF(E87=501,C87,IF(AI22="l",1,""))</f>
        <v/>
      </c>
      <c r="X22" s="474">
        <f>IF(E88=501,C88,IF(AI22="l",1,""))</f>
        <v>32</v>
      </c>
      <c r="Y22" s="474">
        <f>IF(E89=501,C89,"")</f>
        <v>31</v>
      </c>
      <c r="Z22" s="474" t="str">
        <f>IF(E90=501,C90,"")</f>
        <v/>
      </c>
      <c r="AA22" s="15" t="s">
        <v>8</v>
      </c>
      <c r="AB22" s="475">
        <f>IF(N86=501,L86,IF(AH22="l",1,""))</f>
        <v>32</v>
      </c>
      <c r="AC22" s="475">
        <f>IF(N87=501,L87,IF(AH22="l",1,""))</f>
        <v>34</v>
      </c>
      <c r="AD22" s="475" t="str">
        <f>IF(N88=501,L88,IF(AH22="l",1,""))</f>
        <v/>
      </c>
      <c r="AE22" s="475" t="str">
        <f>IF(N89=501,L89,"")</f>
        <v/>
      </c>
      <c r="AF22" s="475">
        <f>IF(N90=501,L90,"")</f>
        <v>36</v>
      </c>
      <c r="AG22" s="26" t="s">
        <v>10</v>
      </c>
      <c r="AH22" s="169">
        <f>H84</f>
        <v>0</v>
      </c>
      <c r="AI22" s="169">
        <f>I84</f>
        <v>0</v>
      </c>
      <c r="AJ22" s="60" t="str">
        <f t="shared" si="2"/>
        <v>Ok</v>
      </c>
      <c r="AK22" s="61" t="str">
        <f t="shared" si="3"/>
        <v>-</v>
      </c>
      <c r="AM22" s="259">
        <f>tilasto!B18</f>
        <v>0</v>
      </c>
      <c r="AP22" s="259">
        <f>tilasto!B31</f>
        <v>0</v>
      </c>
    </row>
    <row r="23" spans="1:49" ht="30" customHeight="1" x14ac:dyDescent="0.3">
      <c r="A23" s="24" t="str">
        <f>IF($M$6="x","","x")</f>
        <v>x</v>
      </c>
      <c r="B23" s="24" t="str">
        <f>IF($M$6="x","1 - 2","2 - 3")</f>
        <v>2 - 3</v>
      </c>
      <c r="C23" s="515" t="str">
        <f>IF(C14=0,"",C14)</f>
        <v>Partanen Jarkko</v>
      </c>
      <c r="D23" s="515"/>
      <c r="E23" s="515"/>
      <c r="F23" s="515"/>
      <c r="G23" s="516"/>
      <c r="H23" s="469">
        <f>IF(C96=0,"",SUM(E96:E100)/SUM(C96:C100))</f>
        <v>14.6</v>
      </c>
      <c r="I23" s="34" t="s">
        <v>8</v>
      </c>
      <c r="J23" s="515" t="str">
        <f>IF($M$6="x",IF(P14=0,"",P14),IF(P15=0,"",P15))</f>
        <v>Aho Jarno</v>
      </c>
      <c r="K23" s="515"/>
      <c r="L23" s="515"/>
      <c r="M23" s="515"/>
      <c r="N23" s="515"/>
      <c r="O23" s="516"/>
      <c r="P23" s="469">
        <f>IF(L96=0,"",SUM(N96:N100)/SUM(L96:L100))</f>
        <v>16.516483516483518</v>
      </c>
      <c r="Q23" s="128"/>
      <c r="R23" s="88">
        <f t="shared" si="0"/>
        <v>0</v>
      </c>
      <c r="S23" s="89" t="s">
        <v>8</v>
      </c>
      <c r="T23" s="88">
        <f t="shared" si="1"/>
        <v>3</v>
      </c>
      <c r="U23" s="25" t="s">
        <v>9</v>
      </c>
      <c r="V23" s="474" t="str">
        <f>IF(E96=501,C96,IF(AI23="l",1,""))</f>
        <v/>
      </c>
      <c r="W23" s="474" t="str">
        <f>IF(E97=501,C97,IF(AI23="l",1,""))</f>
        <v/>
      </c>
      <c r="X23" s="474" t="str">
        <f>IF(E98=501,C98,IF(AI23="l",1,""))</f>
        <v/>
      </c>
      <c r="Y23" s="474" t="str">
        <f>IF(E99=501,C99,"")</f>
        <v/>
      </c>
      <c r="Z23" s="474" t="str">
        <f>IF(E100=501,C100,"")</f>
        <v/>
      </c>
      <c r="AA23" s="15" t="s">
        <v>8</v>
      </c>
      <c r="AB23" s="475">
        <f>IF(N96=501,L96,IF(AH23="l",1,""))</f>
        <v>32</v>
      </c>
      <c r="AC23" s="475">
        <f>IF(N97=501,L97,IF(AH23="l",1,""))</f>
        <v>29</v>
      </c>
      <c r="AD23" s="475">
        <f>IF(N98=501,L98,IF(AH23="l",1,""))</f>
        <v>30</v>
      </c>
      <c r="AE23" s="475" t="str">
        <f>IF(N99=501,L99,"")</f>
        <v/>
      </c>
      <c r="AF23" s="475" t="str">
        <f>IF(N100=501,L100,"")</f>
        <v/>
      </c>
      <c r="AG23" s="26" t="s">
        <v>10</v>
      </c>
      <c r="AH23" s="169">
        <f>H94</f>
        <v>0</v>
      </c>
      <c r="AI23" s="169">
        <f>I94</f>
        <v>0</v>
      </c>
      <c r="AJ23" s="60" t="str">
        <f t="shared" si="2"/>
        <v>Ok</v>
      </c>
      <c r="AK23" s="61" t="str">
        <f t="shared" si="3"/>
        <v>-</v>
      </c>
      <c r="AL23" s="209">
        <v>3</v>
      </c>
      <c r="AM23" s="263" t="str">
        <f>'Ottelu 1'!AP15</f>
        <v>Aho Jarno</v>
      </c>
      <c r="AO23" s="209">
        <v>3</v>
      </c>
      <c r="AP23" s="263" t="str">
        <f>'Ottelu 1'!AL15</f>
        <v>Mantila Petri</v>
      </c>
    </row>
    <row r="24" spans="1:49" ht="30" customHeight="1" x14ac:dyDescent="0.3">
      <c r="A24" s="24" t="str">
        <f>IF($M$6="x","x","")</f>
        <v/>
      </c>
      <c r="B24" s="24" t="str">
        <f>IF($M$6="x","2 - 3","1 - 4")</f>
        <v>1 - 4</v>
      </c>
      <c r="C24" s="515" t="str">
        <f>IF(C13=0,"",C13)</f>
        <v>Nevalainen Ari</v>
      </c>
      <c r="D24" s="515"/>
      <c r="E24" s="515"/>
      <c r="F24" s="515"/>
      <c r="G24" s="516"/>
      <c r="H24" s="469">
        <f>IF(C106=0,"",SUM(E106:E110)/SUM(C106:C110))</f>
        <v>17.769784172661872</v>
      </c>
      <c r="I24" s="34" t="s">
        <v>8</v>
      </c>
      <c r="J24" s="515" t="str">
        <f>IF($M$6="x",IF(P15=0,"",P15),IF(P16=0,"",P16))</f>
        <v>Nyholm Mikael</v>
      </c>
      <c r="K24" s="515"/>
      <c r="L24" s="515"/>
      <c r="M24" s="515"/>
      <c r="N24" s="515"/>
      <c r="O24" s="516"/>
      <c r="P24" s="469">
        <f>IF(L106=0,"",SUM(N106:N110)/SUM(L106:L110))</f>
        <v>17.392857142857142</v>
      </c>
      <c r="Q24" s="128"/>
      <c r="R24" s="88">
        <f t="shared" si="0"/>
        <v>3</v>
      </c>
      <c r="S24" s="89" t="s">
        <v>8</v>
      </c>
      <c r="T24" s="88">
        <f t="shared" si="1"/>
        <v>2</v>
      </c>
      <c r="U24" s="25" t="s">
        <v>9</v>
      </c>
      <c r="V24" s="474">
        <f>IF(E106=501,C106,IF(AI24="l",1,""))</f>
        <v>27</v>
      </c>
      <c r="W24" s="474" t="str">
        <f>IF(E107=501,C107,IF(AI24="l",1,""))</f>
        <v/>
      </c>
      <c r="X24" s="474" t="str">
        <f>IF(E108=501,C108,IF(AI24="l",1,""))</f>
        <v/>
      </c>
      <c r="Y24" s="474">
        <f>IF(E109=501,C109,"")</f>
        <v>29</v>
      </c>
      <c r="Z24" s="474">
        <f>IF(E110=501,C110,"")</f>
        <v>29</v>
      </c>
      <c r="AA24" s="15" t="s">
        <v>8</v>
      </c>
      <c r="AB24" s="475" t="str">
        <f>IF(N106=501,L106,IF(AH24="l",1,""))</f>
        <v/>
      </c>
      <c r="AC24" s="475">
        <f>IF(N107=501,L107,IF(AH24="l",1,""))</f>
        <v>29</v>
      </c>
      <c r="AD24" s="475">
        <f>IF(N108=501,L108,IF(AH24="l",1,""))</f>
        <v>27</v>
      </c>
      <c r="AE24" s="475" t="str">
        <f>IF(N109=501,L109,"")</f>
        <v/>
      </c>
      <c r="AF24" s="475" t="str">
        <f>IF(N110=501,L110,"")</f>
        <v/>
      </c>
      <c r="AG24" s="26" t="s">
        <v>10</v>
      </c>
      <c r="AH24" s="169">
        <f>H104</f>
        <v>0</v>
      </c>
      <c r="AI24" s="169">
        <f>I104</f>
        <v>0</v>
      </c>
      <c r="AJ24" s="60" t="str">
        <f t="shared" si="2"/>
        <v>Ok</v>
      </c>
      <c r="AK24" s="61" t="str">
        <f t="shared" si="3"/>
        <v>-</v>
      </c>
      <c r="AM24" s="259">
        <f>tilasto!B15</f>
        <v>0</v>
      </c>
      <c r="AP24" s="259">
        <f>tilasto!B28</f>
        <v>0</v>
      </c>
    </row>
    <row r="25" spans="1:49" ht="30" customHeight="1" x14ac:dyDescent="0.3">
      <c r="A25" s="24" t="str">
        <f>IF($M$6="x","","x")</f>
        <v>x</v>
      </c>
      <c r="B25" s="24" t="str">
        <f>IF($M$6="x","3 - 1","4 - 1")</f>
        <v>4 - 1</v>
      </c>
      <c r="C25" s="515" t="str">
        <f>IF(C16=0,"",C16)</f>
        <v>Lokkinen Marko</v>
      </c>
      <c r="D25" s="515"/>
      <c r="E25" s="515"/>
      <c r="F25" s="515"/>
      <c r="G25" s="516"/>
      <c r="H25" s="469">
        <f>IF(C116=0,"",SUM(E116:E120)/SUM(C116:C120))</f>
        <v>13.074380165289256</v>
      </c>
      <c r="I25" s="34" t="s">
        <v>8</v>
      </c>
      <c r="J25" s="515" t="str">
        <f>IF($M$6="x",IF(P13=0,"",P13),IF(P13=0,"",P13))</f>
        <v>Lindholm Tobias</v>
      </c>
      <c r="K25" s="515"/>
      <c r="L25" s="515"/>
      <c r="M25" s="515"/>
      <c r="N25" s="515"/>
      <c r="O25" s="516"/>
      <c r="P25" s="469">
        <f>IF(L116=0,"",SUM(N116:N120)/SUM(L116:L120))</f>
        <v>16.409836065573771</v>
      </c>
      <c r="Q25" s="128"/>
      <c r="R25" s="88">
        <f t="shared" si="0"/>
        <v>1</v>
      </c>
      <c r="S25" s="89" t="s">
        <v>8</v>
      </c>
      <c r="T25" s="88">
        <f t="shared" si="1"/>
        <v>3</v>
      </c>
      <c r="U25" s="25" t="s">
        <v>9</v>
      </c>
      <c r="V25" s="474">
        <f>IF(E116=501,C116,IF(AI25="l",1,""))</f>
        <v>31</v>
      </c>
      <c r="W25" s="474" t="str">
        <f>IF(E117=501,C117,IF(AI25="l",1,""))</f>
        <v/>
      </c>
      <c r="X25" s="474" t="str">
        <f>IF(E118=501,C118,IF(AI25="l",1,""))</f>
        <v/>
      </c>
      <c r="Y25" s="474" t="str">
        <f>IF(E119=501,C119,"")</f>
        <v/>
      </c>
      <c r="Z25" s="474" t="str">
        <f>IF(E120=501,C120,"")</f>
        <v/>
      </c>
      <c r="AA25" s="15" t="s">
        <v>8</v>
      </c>
      <c r="AB25" s="475" t="str">
        <f>IF(N116=501,L116,IF(AH25="l",1,""))</f>
        <v/>
      </c>
      <c r="AC25" s="475">
        <f>IF(N117=501,L117,IF(AH25="l",1,""))</f>
        <v>22</v>
      </c>
      <c r="AD25" s="475">
        <f>IF(N118=501,L118,IF(AH25="l",1,""))</f>
        <v>33</v>
      </c>
      <c r="AE25" s="475">
        <f>IF(N119=501,L119,"")</f>
        <v>37</v>
      </c>
      <c r="AF25" s="475" t="str">
        <f>IF(N120=501,L120,"")</f>
        <v/>
      </c>
      <c r="AG25" s="26" t="s">
        <v>10</v>
      </c>
      <c r="AH25" s="169">
        <f>H114</f>
        <v>0</v>
      </c>
      <c r="AI25" s="169">
        <f>I114</f>
        <v>0</v>
      </c>
      <c r="AJ25" s="60" t="str">
        <f t="shared" si="2"/>
        <v>Ok</v>
      </c>
      <c r="AK25" s="61" t="str">
        <f t="shared" si="3"/>
        <v>-</v>
      </c>
      <c r="AM25" s="259">
        <f>tilasto!B16</f>
        <v>0</v>
      </c>
      <c r="AP25" s="259">
        <f>tilasto!B29</f>
        <v>0</v>
      </c>
    </row>
    <row r="26" spans="1:49" ht="30" customHeight="1" x14ac:dyDescent="0.3">
      <c r="A26" s="24" t="str">
        <f>IF($M$6="x","","")</f>
        <v/>
      </c>
      <c r="B26" s="24" t="str">
        <f>IF($M$6="x","","3 - 2")</f>
        <v>3 - 2</v>
      </c>
      <c r="C26" s="515" t="str">
        <f>IF(C15=0,"",C15)</f>
        <v>Mantila Petri</v>
      </c>
      <c r="D26" s="515"/>
      <c r="E26" s="515"/>
      <c r="F26" s="515"/>
      <c r="G26" s="516"/>
      <c r="H26" s="469">
        <f>IF(C126=0,"",SUM(E126:E130)/SUM(C126:C130))</f>
        <v>11.128654970760234</v>
      </c>
      <c r="I26" s="34" t="s">
        <v>8</v>
      </c>
      <c r="J26" s="515" t="str">
        <f>IF(P14=0,"",P14)</f>
        <v>Holmström Bjarne</v>
      </c>
      <c r="K26" s="515"/>
      <c r="L26" s="515"/>
      <c r="M26" s="515"/>
      <c r="N26" s="515"/>
      <c r="O26" s="516"/>
      <c r="P26" s="469">
        <f>IF(L126=0,"",SUM(N126:N130)/SUM(L126:L130))</f>
        <v>11.5</v>
      </c>
      <c r="Q26" s="128"/>
      <c r="R26" s="248">
        <f t="shared" si="0"/>
        <v>1</v>
      </c>
      <c r="S26" s="89" t="s">
        <v>8</v>
      </c>
      <c r="T26" s="248">
        <f t="shared" si="1"/>
        <v>3</v>
      </c>
      <c r="U26" s="25" t="s">
        <v>9</v>
      </c>
      <c r="V26" s="474" t="str">
        <f>IF(E126=501,C126,IF(AI26="l",1,""))</f>
        <v/>
      </c>
      <c r="W26" s="474">
        <f>IF(E127=501,C127,IF(AI26="l",1,""))</f>
        <v>48</v>
      </c>
      <c r="X26" s="474" t="str">
        <f>IF(E128=501,C128,IF(AI26="l",1,""))</f>
        <v/>
      </c>
      <c r="Y26" s="474" t="str">
        <f>IF(E129=501,C129,"")</f>
        <v/>
      </c>
      <c r="Z26" s="474" t="str">
        <f>IF(E130=501,C130,"")</f>
        <v/>
      </c>
      <c r="AA26" s="15" t="s">
        <v>8</v>
      </c>
      <c r="AB26" s="475">
        <f>IF(N126=501,L126,IF(AH26="l",1,""))</f>
        <v>38</v>
      </c>
      <c r="AC26" s="475" t="str">
        <f>IF(N127=501,L127,IF(AH26="l",1,""))</f>
        <v/>
      </c>
      <c r="AD26" s="475">
        <f>IF(N128=501,L128,IF(AH26="l",1,""))</f>
        <v>57</v>
      </c>
      <c r="AE26" s="475">
        <f>IF(N129=501,L129,"")</f>
        <v>32</v>
      </c>
      <c r="AF26" s="475" t="str">
        <f>IF(N130=501,L130,"")</f>
        <v/>
      </c>
      <c r="AG26" s="26" t="s">
        <v>10</v>
      </c>
      <c r="AH26" s="169">
        <f>H124</f>
        <v>0</v>
      </c>
      <c r="AI26" s="169">
        <f>I124</f>
        <v>0</v>
      </c>
      <c r="AJ26" s="60" t="str">
        <f t="shared" si="2"/>
        <v>Ok</v>
      </c>
      <c r="AK26" s="61" t="str">
        <f t="shared" si="3"/>
        <v>-</v>
      </c>
      <c r="AM26" s="259">
        <f>tilasto!B17</f>
        <v>0</v>
      </c>
      <c r="AP26" s="259">
        <f>tilasto!B30</f>
        <v>0</v>
      </c>
    </row>
    <row r="27" spans="1:49" s="11" customFormat="1" ht="30" hidden="1" customHeight="1" x14ac:dyDescent="0.3">
      <c r="A27" s="173" t="s">
        <v>11</v>
      </c>
      <c r="B27" s="174"/>
      <c r="C27" s="561"/>
      <c r="D27" s="562"/>
      <c r="E27" s="562"/>
      <c r="F27" s="562"/>
      <c r="G27" s="562"/>
      <c r="H27" s="562"/>
      <c r="I27" s="175" t="s">
        <v>8</v>
      </c>
      <c r="J27" s="561"/>
      <c r="K27" s="561"/>
      <c r="L27" s="561"/>
      <c r="M27" s="561"/>
      <c r="N27" s="561"/>
      <c r="O27" s="561"/>
      <c r="P27" s="128"/>
      <c r="Q27" s="129"/>
      <c r="R27" s="470">
        <f>SUMIF(R19:R26,"&gt;0",R19:R26)</f>
        <v>11</v>
      </c>
      <c r="S27" s="176" t="s">
        <v>8</v>
      </c>
      <c r="T27" s="470">
        <f>SUMIF(T19:T26,"&gt;0",T19:T26)</f>
        <v>20</v>
      </c>
      <c r="U27" s="25" t="s">
        <v>9</v>
      </c>
      <c r="V27" s="462">
        <f>IF(R27=0,0,COUNTIF(R19:R26,"3"))</f>
        <v>2</v>
      </c>
      <c r="W27" s="463">
        <f>IF(T27=0,0,COUNTIF(T19:T26,"3"))</f>
        <v>6</v>
      </c>
      <c r="X27" s="33" t="str">
        <f>IF(E141=501,C141,IF(AI27="l",1,""))</f>
        <v/>
      </c>
      <c r="Y27" s="33" t="str">
        <f>IF(E142=501,C142,"")</f>
        <v/>
      </c>
      <c r="Z27" s="33" t="str">
        <f>IF(E143=501,C143,"")</f>
        <v/>
      </c>
      <c r="AA27" s="177"/>
      <c r="AB27" s="33" t="str">
        <f>IF(N139=501,L139,IF(AH27="l",1,""))</f>
        <v/>
      </c>
      <c r="AC27" s="33" t="str">
        <f>IF(N140=501,L140,IF(AH27="l",1,""))</f>
        <v/>
      </c>
      <c r="AD27" s="33" t="str">
        <f>IF(N141=501,L141,IF(AH27="l",1,""))</f>
        <v/>
      </c>
      <c r="AE27" s="33" t="str">
        <f>IF(N142=501,L142,"")</f>
        <v/>
      </c>
      <c r="AF27" s="33" t="str">
        <f>IF(N143=501,L143,"")</f>
        <v/>
      </c>
      <c r="AG27" s="26"/>
      <c r="AH27" s="169">
        <f>H137</f>
        <v>0</v>
      </c>
      <c r="AI27" s="172">
        <f>I137</f>
        <v>0</v>
      </c>
      <c r="AJ27" s="61"/>
      <c r="AK27" s="61"/>
      <c r="AL27" s="251"/>
      <c r="AM27" s="259">
        <f>tilasto!B18</f>
        <v>0</v>
      </c>
      <c r="AN27" s="251"/>
      <c r="AO27" s="264"/>
      <c r="AP27" s="259">
        <f>tilasto!B31</f>
        <v>0</v>
      </c>
      <c r="AQ27" s="251"/>
      <c r="AR27" s="251"/>
      <c r="AS27" s="251"/>
      <c r="AT27" s="251"/>
      <c r="AU27" s="251"/>
      <c r="AV27" s="254"/>
      <c r="AW27" s="254"/>
    </row>
    <row r="28" spans="1:49" ht="23.25" hidden="1" customHeight="1" x14ac:dyDescent="0.25">
      <c r="A28" s="82"/>
      <c r="B28" s="6"/>
      <c r="C28" s="32"/>
      <c r="D28" s="32"/>
      <c r="E28" s="32"/>
      <c r="F28" s="32"/>
      <c r="G28" s="32"/>
      <c r="H28" s="30"/>
      <c r="I28" s="31"/>
      <c r="J28" s="31"/>
      <c r="K28" s="31"/>
      <c r="L28" s="31"/>
      <c r="M28" s="31"/>
      <c r="N28" s="30"/>
      <c r="O28" s="559"/>
      <c r="P28" s="560"/>
      <c r="Q28" s="32"/>
      <c r="R28" s="6"/>
      <c r="S28" s="421"/>
      <c r="T28" s="6"/>
      <c r="U28" s="51"/>
      <c r="V28" s="30"/>
      <c r="W28" s="30"/>
      <c r="X28" s="30"/>
      <c r="Y28" s="30"/>
      <c r="Z28" s="30"/>
      <c r="AA28" s="32"/>
      <c r="AB28" s="30"/>
      <c r="AC28" s="30"/>
      <c r="AD28" s="30"/>
      <c r="AE28" s="30"/>
      <c r="AF28" s="30"/>
      <c r="AG28" s="30"/>
      <c r="AH28" s="64"/>
      <c r="AI28" s="64"/>
      <c r="AJ28" s="64"/>
      <c r="AK28" s="64">
        <f>COUNTIF(AK19:AK26,"ei pelitietoja")</f>
        <v>0</v>
      </c>
      <c r="AL28" s="209">
        <v>4</v>
      </c>
      <c r="AM28" s="263" t="str">
        <f>'Ottelu 1'!AP16</f>
        <v>Nyholm Mikael</v>
      </c>
      <c r="AO28" s="209">
        <v>4</v>
      </c>
      <c r="AP28" s="263" t="str">
        <f>'Ottelu 1'!AL16</f>
        <v>Lokkinen Marko</v>
      </c>
    </row>
    <row r="29" spans="1:49" ht="10.5" hidden="1" customHeight="1" x14ac:dyDescent="0.25">
      <c r="B29" s="10"/>
      <c r="C29" s="10"/>
      <c r="D29" s="10"/>
      <c r="E29" s="10"/>
      <c r="F29" s="10"/>
      <c r="G29" s="10"/>
      <c r="H29" s="6"/>
      <c r="I29" s="12"/>
      <c r="J29" s="12"/>
      <c r="K29" s="12"/>
      <c r="L29" s="12"/>
      <c r="M29" s="12"/>
      <c r="N29" s="6"/>
      <c r="O29" s="6"/>
      <c r="P29" s="10"/>
      <c r="Q29" s="10"/>
      <c r="R29" s="6"/>
      <c r="S29" s="6"/>
      <c r="T29" s="6"/>
      <c r="U29" s="49"/>
      <c r="V29" s="6"/>
      <c r="W29" s="6"/>
      <c r="X29" s="6"/>
      <c r="Y29" s="6"/>
      <c r="Z29" s="6"/>
      <c r="AA29" s="10"/>
      <c r="AB29" s="6"/>
      <c r="AC29" s="6"/>
      <c r="AD29" s="6"/>
      <c r="AE29" s="6"/>
      <c r="AF29" s="6"/>
      <c r="AG29" s="6"/>
      <c r="AM29" s="259">
        <f>tilasto!B15</f>
        <v>0</v>
      </c>
      <c r="AP29" s="259">
        <f>tilasto!B28</f>
        <v>0</v>
      </c>
    </row>
    <row r="30" spans="1:49" s="13" customFormat="1" ht="24.75" customHeight="1" x14ac:dyDescent="0.25">
      <c r="A30" s="6"/>
      <c r="B30" s="16" t="s">
        <v>12</v>
      </c>
      <c r="C30" s="10"/>
      <c r="D30" s="10"/>
      <c r="E30" s="10"/>
      <c r="F30" s="10"/>
      <c r="G30" s="10"/>
      <c r="H30" s="6"/>
      <c r="I30" s="12"/>
      <c r="J30" s="12"/>
      <c r="K30" s="12"/>
      <c r="L30" s="12"/>
      <c r="M30" s="12"/>
      <c r="N30" s="6"/>
      <c r="O30" s="6"/>
      <c r="P30" s="6"/>
      <c r="Q30" s="6"/>
      <c r="R30" s="6"/>
      <c r="S30" s="6"/>
      <c r="T30" s="6"/>
      <c r="U30" s="49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1"/>
      <c r="AI30" s="61"/>
      <c r="AJ30" s="61"/>
      <c r="AK30" s="61"/>
      <c r="AL30" s="209"/>
      <c r="AM30" s="259">
        <f>tilasto!B16</f>
        <v>0</v>
      </c>
      <c r="AN30" s="209"/>
      <c r="AO30" s="209"/>
      <c r="AP30" s="259">
        <f>tilasto!B29</f>
        <v>0</v>
      </c>
      <c r="AQ30" s="209"/>
      <c r="AR30" s="209"/>
      <c r="AS30" s="209"/>
      <c r="AT30" s="209"/>
      <c r="AU30" s="209"/>
      <c r="AV30" s="253"/>
      <c r="AW30" s="253"/>
    </row>
    <row r="31" spans="1:49" ht="23.25" customHeight="1" x14ac:dyDescent="0.3">
      <c r="A31" s="14"/>
      <c r="B31" s="519" t="str">
        <f>CONCATENATE(B9," - ",O9,"     ",V27," - ",W27)</f>
        <v>Ohari DC 2 - Grönan DC 2     2 - 6</v>
      </c>
      <c r="C31" s="519"/>
      <c r="D31" s="519"/>
      <c r="E31" s="519"/>
      <c r="F31" s="519"/>
      <c r="G31" s="519"/>
      <c r="H31" s="519"/>
      <c r="I31" s="519"/>
      <c r="J31" s="519"/>
      <c r="K31" s="519"/>
      <c r="L31" s="519"/>
      <c r="M31" s="519"/>
      <c r="N31" s="519"/>
      <c r="O31" s="519"/>
      <c r="P31" s="350"/>
      <c r="Q31" s="351"/>
      <c r="R31" s="351"/>
      <c r="U31" s="336"/>
      <c r="V31" s="14"/>
      <c r="W31" s="294"/>
      <c r="X31" s="294"/>
      <c r="Y31" s="294"/>
      <c r="Z31" s="294"/>
      <c r="AA31" s="57"/>
      <c r="AB31" s="294"/>
      <c r="AC31" s="294"/>
      <c r="AD31" s="294"/>
      <c r="AE31" s="294"/>
      <c r="AF31" s="14"/>
      <c r="AG31" s="14"/>
      <c r="AH31" s="65"/>
      <c r="AI31" s="65"/>
      <c r="AJ31" s="65"/>
      <c r="AK31" s="65"/>
      <c r="AM31" s="259">
        <f>tilasto!B17</f>
        <v>0</v>
      </c>
      <c r="AP31" s="259">
        <f>tilasto!B30</f>
        <v>0</v>
      </c>
    </row>
    <row r="32" spans="1:49" ht="21.75" customHeight="1" x14ac:dyDescent="0.25">
      <c r="B32" s="425" t="s">
        <v>83</v>
      </c>
      <c r="C32" s="10"/>
      <c r="D32" s="10"/>
      <c r="E32" s="10"/>
      <c r="F32" s="10"/>
      <c r="G32" s="10"/>
      <c r="H32" s="14"/>
      <c r="I32" s="15"/>
      <c r="J32" s="15"/>
      <c r="K32" s="15"/>
      <c r="L32" s="15"/>
      <c r="M32" s="15"/>
      <c r="N32" s="14"/>
      <c r="O32" s="14"/>
      <c r="P32" s="16"/>
      <c r="Q32" s="16"/>
      <c r="R32" s="14"/>
      <c r="S32" s="14"/>
      <c r="T32" s="6"/>
      <c r="U32" s="49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M32" s="259">
        <f>tilasto!B18</f>
        <v>0</v>
      </c>
      <c r="AP32" s="259">
        <f>tilasto!B31</f>
        <v>0</v>
      </c>
    </row>
    <row r="33" spans="1:49" s="6" customFormat="1" ht="24.75" customHeight="1" x14ac:dyDescent="0.25">
      <c r="B33" s="426" t="s">
        <v>84</v>
      </c>
      <c r="C33" s="17"/>
      <c r="D33" s="17"/>
      <c r="E33" s="17"/>
      <c r="F33" s="17"/>
      <c r="G33" s="17"/>
      <c r="H33" s="331" t="s">
        <v>99</v>
      </c>
      <c r="I33" s="10"/>
      <c r="J33" s="10"/>
      <c r="K33" s="10"/>
      <c r="L33" s="10"/>
      <c r="M33" s="10"/>
      <c r="O33" s="426" t="s">
        <v>84</v>
      </c>
      <c r="U33" s="49"/>
      <c r="V33" s="331" t="s">
        <v>99</v>
      </c>
      <c r="AH33" s="60"/>
      <c r="AI33" s="60"/>
      <c r="AJ33" s="60"/>
      <c r="AK33" s="60"/>
      <c r="AL33" s="49"/>
      <c r="AM33" s="257"/>
      <c r="AN33" s="49"/>
      <c r="AO33" s="258"/>
      <c r="AP33" s="257"/>
      <c r="AQ33" s="49"/>
      <c r="AR33" s="49"/>
      <c r="AS33" s="49"/>
      <c r="AT33" s="49"/>
      <c r="AU33" s="49"/>
      <c r="AV33" s="243"/>
      <c r="AW33" s="243"/>
    </row>
    <row r="34" spans="1:49" s="6" customFormat="1" ht="31.5" customHeight="1" x14ac:dyDescent="0.25">
      <c r="A34" s="17"/>
      <c r="B34" s="512" t="str">
        <f>C13</f>
        <v>Nevalainen Ari</v>
      </c>
      <c r="C34" s="512"/>
      <c r="D34" s="512"/>
      <c r="E34" s="512"/>
      <c r="F34" s="512"/>
      <c r="G34" s="512"/>
      <c r="H34" s="488"/>
      <c r="I34" s="488"/>
      <c r="J34" s="488"/>
      <c r="K34" s="488"/>
      <c r="L34" s="488"/>
      <c r="M34" s="488"/>
      <c r="N34" s="488"/>
      <c r="O34" s="564" t="str">
        <f>P13</f>
        <v>Lindholm Tobias</v>
      </c>
      <c r="P34" s="565"/>
      <c r="Q34" s="565"/>
      <c r="R34" s="565"/>
      <c r="S34" s="565"/>
      <c r="T34" s="565"/>
      <c r="U34" s="565"/>
      <c r="V34" s="543"/>
      <c r="W34" s="543"/>
      <c r="X34" s="543"/>
      <c r="Y34" s="543"/>
      <c r="Z34" s="543"/>
      <c r="AA34" s="543"/>
      <c r="AB34" s="543"/>
      <c r="AC34" s="543"/>
      <c r="AD34" s="543"/>
      <c r="AE34" s="543"/>
      <c r="AF34" s="543"/>
      <c r="AG34" s="543"/>
      <c r="AH34" s="543"/>
      <c r="AI34" s="60"/>
      <c r="AJ34" s="60"/>
      <c r="AK34" s="60"/>
      <c r="AL34" s="49"/>
      <c r="AM34" s="257"/>
      <c r="AN34" s="49"/>
      <c r="AO34" s="258"/>
      <c r="AP34" s="257"/>
      <c r="AQ34" s="49"/>
      <c r="AR34" s="49"/>
      <c r="AS34" s="49"/>
      <c r="AT34" s="49"/>
      <c r="AU34" s="49"/>
      <c r="AV34" s="243"/>
      <c r="AW34" s="243"/>
    </row>
    <row r="35" spans="1:49" s="5" customFormat="1" ht="31.5" customHeight="1" x14ac:dyDescent="0.25">
      <c r="A35" s="6"/>
      <c r="B35" s="512" t="str">
        <f>C14</f>
        <v>Partanen Jarkko</v>
      </c>
      <c r="C35" s="512"/>
      <c r="D35" s="512"/>
      <c r="E35" s="512"/>
      <c r="F35" s="512"/>
      <c r="G35" s="512"/>
      <c r="H35" s="488"/>
      <c r="I35" s="488"/>
      <c r="J35" s="488"/>
      <c r="K35" s="488"/>
      <c r="L35" s="488"/>
      <c r="M35" s="488"/>
      <c r="N35" s="488"/>
      <c r="O35" s="564" t="str">
        <f>P14</f>
        <v>Holmström Bjarne</v>
      </c>
      <c r="P35" s="565"/>
      <c r="Q35" s="565"/>
      <c r="R35" s="565"/>
      <c r="S35" s="565"/>
      <c r="T35" s="565"/>
      <c r="U35" s="565"/>
      <c r="V35" s="543"/>
      <c r="W35" s="543"/>
      <c r="X35" s="543"/>
      <c r="Y35" s="543"/>
      <c r="Z35" s="543"/>
      <c r="AA35" s="543"/>
      <c r="AB35" s="543"/>
      <c r="AC35" s="543"/>
      <c r="AD35" s="543"/>
      <c r="AE35" s="543"/>
      <c r="AF35" s="543"/>
      <c r="AG35" s="543"/>
      <c r="AH35" s="543"/>
      <c r="AI35" s="60"/>
      <c r="AJ35" s="60"/>
      <c r="AK35" s="60"/>
      <c r="AL35" s="48"/>
      <c r="AM35" s="265"/>
      <c r="AN35" s="48"/>
      <c r="AO35" s="266"/>
      <c r="AP35" s="265"/>
      <c r="AQ35" s="48"/>
      <c r="AR35" s="48"/>
      <c r="AS35" s="48"/>
      <c r="AT35" s="48"/>
      <c r="AU35" s="48"/>
      <c r="AV35" s="255"/>
      <c r="AW35" s="255"/>
    </row>
    <row r="36" spans="1:49" s="5" customFormat="1" ht="31.5" customHeight="1" x14ac:dyDescent="0.25">
      <c r="B36" s="512" t="str">
        <f>C15</f>
        <v>Mantila Petri</v>
      </c>
      <c r="C36" s="512"/>
      <c r="D36" s="512"/>
      <c r="E36" s="512"/>
      <c r="F36" s="512"/>
      <c r="G36" s="512"/>
      <c r="H36" s="488"/>
      <c r="I36" s="488"/>
      <c r="J36" s="488"/>
      <c r="K36" s="488"/>
      <c r="L36" s="488"/>
      <c r="M36" s="488"/>
      <c r="N36" s="488"/>
      <c r="O36" s="564" t="str">
        <f>P15</f>
        <v>Aho Jarno</v>
      </c>
      <c r="P36" s="565"/>
      <c r="Q36" s="565"/>
      <c r="R36" s="565"/>
      <c r="S36" s="565"/>
      <c r="T36" s="565"/>
      <c r="U36" s="565"/>
      <c r="V36" s="543"/>
      <c r="W36" s="543"/>
      <c r="X36" s="543"/>
      <c r="Y36" s="543"/>
      <c r="Z36" s="543"/>
      <c r="AA36" s="543"/>
      <c r="AB36" s="543"/>
      <c r="AC36" s="543"/>
      <c r="AD36" s="543"/>
      <c r="AE36" s="543"/>
      <c r="AF36" s="543"/>
      <c r="AG36" s="543"/>
      <c r="AH36" s="543"/>
      <c r="AI36" s="66"/>
      <c r="AJ36" s="66"/>
      <c r="AK36" s="66"/>
      <c r="AL36" s="48"/>
      <c r="AM36" s="265"/>
      <c r="AN36" s="48"/>
      <c r="AO36" s="266"/>
      <c r="AP36" s="265"/>
      <c r="AQ36" s="48"/>
      <c r="AR36" s="48"/>
      <c r="AS36" s="48"/>
      <c r="AT36" s="48"/>
      <c r="AU36" s="48"/>
      <c r="AV36" s="255"/>
      <c r="AW36" s="255"/>
    </row>
    <row r="37" spans="1:49" ht="31.5" customHeight="1" x14ac:dyDescent="0.25">
      <c r="A37" s="83"/>
      <c r="B37" s="512" t="str">
        <f>C16</f>
        <v>Lokkinen Marko</v>
      </c>
      <c r="C37" s="512"/>
      <c r="D37" s="512"/>
      <c r="E37" s="512"/>
      <c r="F37" s="512"/>
      <c r="G37" s="512"/>
      <c r="H37" s="488"/>
      <c r="I37" s="488"/>
      <c r="J37" s="488"/>
      <c r="K37" s="488"/>
      <c r="L37" s="488"/>
      <c r="M37" s="488"/>
      <c r="N37" s="488"/>
      <c r="O37" s="564" t="str">
        <f>P16</f>
        <v>Nyholm Mikael</v>
      </c>
      <c r="P37" s="565"/>
      <c r="Q37" s="565"/>
      <c r="R37" s="565"/>
      <c r="S37" s="565"/>
      <c r="T37" s="565"/>
      <c r="U37" s="565"/>
      <c r="V37" s="543"/>
      <c r="W37" s="543"/>
      <c r="X37" s="543"/>
      <c r="Y37" s="543"/>
      <c r="Z37" s="543"/>
      <c r="AA37" s="543"/>
      <c r="AB37" s="543"/>
      <c r="AC37" s="543"/>
      <c r="AD37" s="543"/>
      <c r="AE37" s="543"/>
      <c r="AF37" s="543"/>
      <c r="AG37" s="543"/>
      <c r="AH37" s="543"/>
      <c r="AI37" s="67"/>
      <c r="AJ37" s="67"/>
      <c r="AK37" s="67"/>
    </row>
    <row r="38" spans="1:49" ht="12.75" customHeight="1" x14ac:dyDescent="0.25">
      <c r="B38" s="6"/>
      <c r="C38" s="6"/>
      <c r="D38" s="6"/>
      <c r="E38" s="6"/>
      <c r="F38" s="6"/>
      <c r="G38" s="6"/>
      <c r="H38" s="6"/>
      <c r="I38" s="10"/>
      <c r="J38" s="10"/>
      <c r="K38" s="10"/>
      <c r="L38" s="10"/>
      <c r="M38" s="10"/>
      <c r="N38" s="6"/>
      <c r="O38" s="6"/>
      <c r="P38" s="163"/>
      <c r="Q38" s="337"/>
      <c r="R38" s="6"/>
      <c r="S38" s="6"/>
      <c r="T38" s="6"/>
      <c r="U38" s="49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49" ht="3" customHeight="1" x14ac:dyDescent="0.25">
      <c r="B39" s="6"/>
      <c r="C39" s="6"/>
      <c r="D39" s="6"/>
      <c r="E39" s="6"/>
      <c r="F39" s="6"/>
      <c r="G39" s="6"/>
      <c r="H39" s="6"/>
      <c r="I39" s="10"/>
      <c r="J39" s="10"/>
      <c r="K39" s="10"/>
      <c r="L39" s="10"/>
      <c r="M39" s="10"/>
      <c r="N39" s="6"/>
      <c r="O39" s="6"/>
      <c r="P39" s="163"/>
      <c r="Q39" s="337"/>
      <c r="R39" s="6"/>
      <c r="S39" s="6"/>
      <c r="T39" s="6"/>
      <c r="U39" s="49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49" ht="21" customHeight="1" x14ac:dyDescent="0.5">
      <c r="B40" s="563" t="s">
        <v>86</v>
      </c>
      <c r="C40" s="563"/>
      <c r="D40" s="563"/>
      <c r="E40" s="563"/>
      <c r="F40" s="563"/>
      <c r="G40" s="563"/>
      <c r="H40" s="563"/>
      <c r="I40" s="563"/>
      <c r="J40" s="563"/>
      <c r="K40" s="563"/>
      <c r="L40" s="563"/>
      <c r="M40" s="563"/>
      <c r="N40" s="563"/>
      <c r="O40" s="563"/>
      <c r="P40" s="563"/>
      <c r="Q40" s="311"/>
      <c r="R40" s="311"/>
      <c r="S40" s="311"/>
      <c r="T40" s="311"/>
      <c r="U40" s="311"/>
      <c r="V40" s="311"/>
      <c r="W40" s="311"/>
      <c r="X40" s="312"/>
      <c r="Y40" s="312"/>
      <c r="Z40" s="312"/>
      <c r="AA40" s="310"/>
      <c r="AB40" s="310"/>
      <c r="AC40" s="310"/>
      <c r="AD40" s="310"/>
      <c r="AE40" s="310"/>
      <c r="AF40" s="310"/>
      <c r="AG40" s="310"/>
    </row>
    <row r="41" spans="1:49" ht="42" customHeight="1" x14ac:dyDescent="0.5">
      <c r="B41" s="563"/>
      <c r="C41" s="563"/>
      <c r="D41" s="563"/>
      <c r="E41" s="563"/>
      <c r="F41" s="563"/>
      <c r="G41" s="563"/>
      <c r="H41" s="563"/>
      <c r="I41" s="563"/>
      <c r="J41" s="563"/>
      <c r="K41" s="563"/>
      <c r="L41" s="563"/>
      <c r="M41" s="563"/>
      <c r="N41" s="563"/>
      <c r="O41" s="563"/>
      <c r="P41" s="563"/>
      <c r="Q41" s="311"/>
      <c r="R41" s="311"/>
      <c r="S41" s="311"/>
      <c r="T41" s="311"/>
      <c r="U41" s="311"/>
      <c r="V41" s="311"/>
      <c r="W41" s="311"/>
      <c r="X41" s="312"/>
      <c r="Y41" s="312"/>
      <c r="Z41" s="312"/>
      <c r="AA41" s="310"/>
      <c r="AB41" s="310"/>
      <c r="AC41" s="310"/>
      <c r="AD41" s="310"/>
      <c r="AE41" s="310"/>
      <c r="AF41" s="310"/>
      <c r="AG41" s="310"/>
    </row>
    <row r="42" spans="1:49" hidden="1" x14ac:dyDescent="0.25">
      <c r="B42" s="6"/>
      <c r="C42" s="6"/>
      <c r="D42" s="6"/>
      <c r="E42" s="6"/>
      <c r="F42" s="6"/>
      <c r="G42" s="6"/>
      <c r="H42" s="6"/>
      <c r="I42" s="10"/>
      <c r="J42" s="10"/>
      <c r="K42" s="10"/>
      <c r="L42" s="10"/>
      <c r="M42" s="10"/>
      <c r="N42" s="6"/>
      <c r="O42" s="6"/>
      <c r="P42" s="6"/>
      <c r="Q42" s="6"/>
      <c r="R42" s="6"/>
      <c r="S42" s="6"/>
      <c r="T42" s="6"/>
      <c r="U42" s="49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49" ht="21.75" hidden="1" customHeight="1" x14ac:dyDescent="0.25">
      <c r="B43" s="6"/>
      <c r="C43" s="6"/>
      <c r="D43" s="6"/>
      <c r="E43" s="6"/>
      <c r="F43" s="6"/>
      <c r="G43" s="6"/>
      <c r="H43" s="6"/>
      <c r="I43" s="10"/>
      <c r="J43" s="10"/>
      <c r="K43" s="10"/>
      <c r="L43" s="10"/>
      <c r="M43" s="10"/>
      <c r="N43" s="6"/>
      <c r="O43" s="6"/>
      <c r="P43" s="6"/>
      <c r="Q43" s="6"/>
      <c r="R43" s="6"/>
      <c r="S43" s="6"/>
      <c r="T43" s="6"/>
      <c r="U43" s="49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49" hidden="1" x14ac:dyDescent="0.25">
      <c r="B44" s="6"/>
      <c r="C44" s="6"/>
      <c r="D44" s="6"/>
      <c r="E44" s="6"/>
      <c r="F44" s="6"/>
      <c r="G44" s="6"/>
      <c r="H44" s="6"/>
      <c r="I44" s="10"/>
      <c r="J44" s="10"/>
      <c r="K44" s="10"/>
      <c r="L44" s="10"/>
      <c r="M44" s="10"/>
      <c r="N44" s="6"/>
      <c r="O44" s="6"/>
      <c r="P44" s="6"/>
      <c r="Q44" s="6"/>
      <c r="R44" s="6"/>
      <c r="S44" s="6"/>
      <c r="T44" s="6"/>
      <c r="U44" s="49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49" hidden="1" x14ac:dyDescent="0.25">
      <c r="B45" s="6"/>
      <c r="C45" s="6"/>
      <c r="D45" s="6"/>
      <c r="E45" s="6"/>
      <c r="F45" s="6"/>
      <c r="G45" s="6"/>
      <c r="H45" s="6"/>
      <c r="I45" s="10"/>
      <c r="J45" s="10"/>
      <c r="K45" s="10"/>
      <c r="L45" s="10"/>
      <c r="M45" s="10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49" hidden="1" x14ac:dyDescent="0.25">
      <c r="B46" s="6"/>
      <c r="C46" s="6"/>
      <c r="D46" s="6"/>
      <c r="E46" s="6"/>
      <c r="F46" s="6"/>
      <c r="G46" s="6"/>
      <c r="H46" s="6"/>
      <c r="I46" s="10"/>
      <c r="J46" s="10"/>
      <c r="K46" s="10"/>
      <c r="L46" s="10"/>
      <c r="M46" s="10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49" s="60" customFormat="1" hidden="1" x14ac:dyDescent="0.25">
      <c r="I47" s="81"/>
      <c r="J47" s="81"/>
      <c r="K47" s="81"/>
      <c r="L47" s="81"/>
      <c r="M47" s="81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M47" s="267"/>
      <c r="AO47" s="268"/>
      <c r="AP47" s="267"/>
      <c r="AV47" s="203"/>
      <c r="AW47" s="203"/>
    </row>
    <row r="48" spans="1:49" s="61" customFormat="1" hidden="1" x14ac:dyDescent="0.25">
      <c r="A48" s="60"/>
      <c r="B48" s="60"/>
      <c r="C48" s="60"/>
      <c r="D48" s="60"/>
      <c r="E48" s="60"/>
      <c r="F48" s="60"/>
      <c r="G48" s="60"/>
      <c r="H48" s="60"/>
      <c r="I48" s="81"/>
      <c r="J48" s="81"/>
      <c r="K48" s="81"/>
      <c r="L48" s="81"/>
      <c r="M48" s="81"/>
      <c r="N48" s="60"/>
      <c r="O48" s="60"/>
      <c r="P48" s="60"/>
      <c r="Q48" s="60"/>
      <c r="R48" s="60"/>
      <c r="S48" s="60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60"/>
      <c r="AM48" s="269"/>
      <c r="AO48" s="65"/>
      <c r="AP48" s="269"/>
      <c r="AV48" s="202"/>
      <c r="AW48" s="202"/>
    </row>
    <row r="49" spans="1:49" s="61" customFormat="1" hidden="1" x14ac:dyDescent="0.25">
      <c r="A49" s="60"/>
      <c r="B49" s="60"/>
      <c r="C49" s="60"/>
      <c r="D49" s="60"/>
      <c r="E49" s="60"/>
      <c r="F49" s="60"/>
      <c r="G49" s="60"/>
      <c r="H49" s="60"/>
      <c r="I49" s="81"/>
      <c r="J49" s="81"/>
      <c r="K49" s="81"/>
      <c r="L49" s="81"/>
      <c r="M49" s="81"/>
      <c r="N49" s="60"/>
      <c r="O49" s="60"/>
      <c r="P49" s="60"/>
      <c r="Q49" s="60"/>
      <c r="R49" s="60"/>
      <c r="S49" s="60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60"/>
      <c r="AM49" s="269"/>
      <c r="AO49" s="65"/>
      <c r="AP49" s="269"/>
      <c r="AV49" s="202"/>
      <c r="AW49" s="202"/>
    </row>
    <row r="50" spans="1:49" s="61" customFormat="1" ht="21.75" hidden="1" customHeight="1" x14ac:dyDescent="0.25">
      <c r="A50" s="60"/>
      <c r="I50" s="68"/>
      <c r="J50" s="68"/>
      <c r="K50" s="68"/>
      <c r="L50" s="68"/>
      <c r="M50" s="68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M50" s="269"/>
      <c r="AO50" s="65"/>
      <c r="AP50" s="269"/>
      <c r="AV50" s="202"/>
      <c r="AW50" s="202"/>
    </row>
    <row r="51" spans="1:49" s="61" customFormat="1" ht="19.5" hidden="1" customHeight="1" x14ac:dyDescent="0.25">
      <c r="A51" s="60"/>
      <c r="I51" s="68"/>
      <c r="J51" s="68"/>
      <c r="K51" s="68"/>
      <c r="L51" s="68"/>
      <c r="M51" s="68"/>
      <c r="T51" s="35"/>
      <c r="U51" s="60"/>
      <c r="V51" s="180">
        <f>COUNTIF(V56:V143,"TARKISTA JÄI-SARAKE")</f>
        <v>0</v>
      </c>
      <c r="W51" s="180"/>
      <c r="AB51" s="180">
        <f>COUNTIF(AB56:AB143,"toinen TIKAT-sarake tyhjä !")</f>
        <v>0</v>
      </c>
      <c r="AD51" s="27"/>
      <c r="AE51" s="27"/>
      <c r="AF51" s="27"/>
      <c r="AM51" s="269"/>
      <c r="AO51" s="65"/>
      <c r="AP51" s="269"/>
      <c r="AV51" s="202"/>
      <c r="AW51" s="202"/>
    </row>
    <row r="52" spans="1:49" s="61" customFormat="1" ht="16.5" thickBot="1" x14ac:dyDescent="0.3">
      <c r="A52" s="60"/>
      <c r="H52" s="60"/>
      <c r="I52" s="68"/>
      <c r="J52" s="68"/>
      <c r="K52" s="68"/>
      <c r="L52" s="68"/>
      <c r="M52" s="68"/>
      <c r="Q52" s="60"/>
      <c r="R52" s="60"/>
      <c r="S52" s="60"/>
      <c r="T52" s="35"/>
      <c r="U52" s="60"/>
      <c r="V52" s="60"/>
      <c r="AD52" s="27"/>
      <c r="AE52" s="27"/>
      <c r="AF52" s="27"/>
      <c r="AM52" s="269"/>
      <c r="AO52" s="65"/>
      <c r="AP52" s="269"/>
      <c r="AV52" s="202"/>
      <c r="AW52" s="202"/>
    </row>
    <row r="53" spans="1:49" s="27" customFormat="1" ht="27.75" customHeight="1" x14ac:dyDescent="0.25">
      <c r="A53" s="131"/>
      <c r="B53" s="132" t="s">
        <v>0</v>
      </c>
      <c r="C53" s="489" t="str">
        <f>C19</f>
        <v>Nevalainen Ari</v>
      </c>
      <c r="D53" s="489"/>
      <c r="E53" s="489"/>
      <c r="F53" s="489"/>
      <c r="G53" s="489"/>
      <c r="H53" s="159">
        <f>IF(OR(H54="L",C53=0),0,1)</f>
        <v>1</v>
      </c>
      <c r="I53" s="142"/>
      <c r="J53" s="133"/>
      <c r="K53" s="134" t="s">
        <v>0</v>
      </c>
      <c r="L53" s="308" t="str">
        <f>J19</f>
        <v>Aho Jarno</v>
      </c>
      <c r="M53" s="308"/>
      <c r="N53" s="308"/>
      <c r="O53" s="308"/>
      <c r="P53" s="308"/>
      <c r="Q53" s="338"/>
      <c r="R53" s="321"/>
      <c r="S53" s="60">
        <f>IF(OR(I54="L",L53=0),0,1)</f>
        <v>1</v>
      </c>
      <c r="T53" s="35"/>
      <c r="U53" s="60"/>
      <c r="V53" s="60"/>
      <c r="W53" s="61"/>
      <c r="X53" s="61"/>
      <c r="Y53" s="61"/>
      <c r="Z53" s="61"/>
      <c r="AA53" s="61"/>
      <c r="AB53" s="61"/>
      <c r="AC53" s="61"/>
      <c r="AH53" s="61"/>
      <c r="AI53" s="61"/>
      <c r="AJ53" s="61"/>
      <c r="AK53" s="61"/>
      <c r="AL53" s="61"/>
      <c r="AM53" s="269"/>
      <c r="AN53" s="61"/>
      <c r="AO53" s="65"/>
      <c r="AP53" s="269"/>
      <c r="AQ53" s="61"/>
      <c r="AR53" s="61"/>
      <c r="AS53" s="61"/>
      <c r="AT53" s="61"/>
      <c r="AU53" s="61"/>
      <c r="AV53" s="202"/>
      <c r="AW53" s="202"/>
    </row>
    <row r="54" spans="1:49" s="27" customFormat="1" x14ac:dyDescent="0.25">
      <c r="A54" s="135"/>
      <c r="B54" s="35"/>
      <c r="C54" s="35"/>
      <c r="D54" s="35"/>
      <c r="E54" s="35"/>
      <c r="F54" s="35"/>
      <c r="G54" s="35"/>
      <c r="H54" s="170"/>
      <c r="I54" s="510"/>
      <c r="J54" s="511"/>
      <c r="K54" s="76"/>
      <c r="L54" s="76"/>
      <c r="M54" s="76"/>
      <c r="N54" s="35"/>
      <c r="O54" s="35"/>
      <c r="P54" s="35"/>
      <c r="Q54" s="367"/>
      <c r="R54" s="189"/>
      <c r="S54" s="35"/>
      <c r="T54" s="35"/>
      <c r="U54" s="60"/>
      <c r="V54" s="60"/>
      <c r="W54" s="61"/>
      <c r="X54" s="61"/>
      <c r="Y54" s="61"/>
      <c r="Z54" s="61"/>
      <c r="AA54" s="61"/>
      <c r="AB54" s="61"/>
      <c r="AC54" s="61"/>
      <c r="AH54" s="61"/>
      <c r="AI54" s="61"/>
      <c r="AJ54" s="61"/>
      <c r="AK54" s="61"/>
      <c r="AL54" s="61"/>
      <c r="AM54" s="269"/>
      <c r="AN54" s="61"/>
      <c r="AO54" s="65"/>
      <c r="AP54" s="269"/>
      <c r="AQ54" s="61"/>
      <c r="AR54" s="61"/>
      <c r="AS54" s="61"/>
      <c r="AT54" s="61"/>
      <c r="AU54" s="61"/>
      <c r="AV54" s="202"/>
      <c r="AW54" s="202"/>
    </row>
    <row r="55" spans="1:49" s="27" customFormat="1" ht="23.25" customHeight="1" x14ac:dyDescent="0.25">
      <c r="A55" s="135"/>
      <c r="B55" s="147" t="s">
        <v>1</v>
      </c>
      <c r="C55" s="72" t="s">
        <v>13</v>
      </c>
      <c r="D55" s="72" t="s">
        <v>14</v>
      </c>
      <c r="E55" s="130" t="s">
        <v>5</v>
      </c>
      <c r="F55" s="72" t="s">
        <v>15</v>
      </c>
      <c r="G55" s="72" t="s">
        <v>16</v>
      </c>
      <c r="H55" s="72"/>
      <c r="I55" s="144"/>
      <c r="J55" s="73"/>
      <c r="K55" s="147" t="s">
        <v>1</v>
      </c>
      <c r="L55" s="72" t="s">
        <v>13</v>
      </c>
      <c r="M55" s="72" t="s">
        <v>14</v>
      </c>
      <c r="N55" s="130" t="s">
        <v>5</v>
      </c>
      <c r="O55" s="318" t="s">
        <v>15</v>
      </c>
      <c r="P55" s="319" t="s">
        <v>16</v>
      </c>
      <c r="Q55" s="416"/>
      <c r="R55" s="363"/>
      <c r="S55" s="35"/>
      <c r="T55" s="35"/>
      <c r="U55" s="199"/>
      <c r="V55" s="60"/>
      <c r="W55" s="61"/>
      <c r="X55" s="61"/>
      <c r="Y55" s="61"/>
      <c r="Z55" s="61"/>
      <c r="AA55" s="61"/>
      <c r="AB55" s="61"/>
      <c r="AC55" s="61"/>
      <c r="AH55" s="61"/>
      <c r="AI55" s="61"/>
      <c r="AJ55" s="61"/>
      <c r="AK55" s="61"/>
      <c r="AL55" s="61"/>
      <c r="AM55" s="269"/>
      <c r="AN55" s="61"/>
      <c r="AO55" s="65"/>
      <c r="AP55" s="269"/>
      <c r="AQ55" s="61"/>
      <c r="AR55" s="61"/>
      <c r="AS55" s="61"/>
      <c r="AT55" s="61"/>
      <c r="AU55" s="61"/>
      <c r="AV55" s="202"/>
      <c r="AW55" s="202"/>
    </row>
    <row r="56" spans="1:49" s="27" customFormat="1" ht="31.5" customHeight="1" x14ac:dyDescent="0.25">
      <c r="A56" s="135"/>
      <c r="B56" s="146">
        <v>1</v>
      </c>
      <c r="C56" s="74">
        <v>27</v>
      </c>
      <c r="D56" s="74"/>
      <c r="E56" s="78">
        <f>IF(C56=0," ",IF(C56=0,0,501-D56))</f>
        <v>501</v>
      </c>
      <c r="F56" s="74"/>
      <c r="G56" s="74"/>
      <c r="H56" s="77">
        <f>IF(AND(H53=1,S53=0),1,IF(COUNT(C56:C60)&gt;2,IF(COUNT(D56:D60)=3,0,1),0))</f>
        <v>1</v>
      </c>
      <c r="I56" s="143"/>
      <c r="J56" s="76"/>
      <c r="K56" s="146">
        <v>1</v>
      </c>
      <c r="L56" s="74">
        <v>27</v>
      </c>
      <c r="M56" s="79">
        <v>69</v>
      </c>
      <c r="N56" s="78">
        <f>IF(L56=0," ",IF(L56=0,0,501-M56))</f>
        <v>432</v>
      </c>
      <c r="O56" s="74"/>
      <c r="P56" s="352"/>
      <c r="Q56" s="417"/>
      <c r="R56" s="365"/>
      <c r="S56" s="35"/>
      <c r="T56" s="35"/>
      <c r="U56" s="162">
        <f>IF(AND(S53=1,H53=0),1,IF(COUNT(L56:L60)&gt;2,IF(COUNT(M56:M60)=3,0,1),0))</f>
        <v>0</v>
      </c>
      <c r="V56" s="200" t="str">
        <f>IF(AND(E56=501,N56=501),"TARKISTA JÄI-SARAKE"," ")</f>
        <v xml:space="preserve"> </v>
      </c>
      <c r="W56" s="61"/>
      <c r="X56" s="61"/>
      <c r="Y56" s="61"/>
      <c r="Z56" s="61"/>
      <c r="AA56" s="61"/>
      <c r="AB56" s="201" t="str">
        <f>IF(AND(C56=0,L56&gt;0),"toinen TIKAT-sarake tyhjä !",IF(AND(C56&gt;0,L56=0),"toinen TIKAT-sarake tyhjä !",""))</f>
        <v/>
      </c>
      <c r="AC56" s="61"/>
      <c r="AH56" s="61"/>
      <c r="AI56" s="61"/>
      <c r="AJ56" s="61"/>
      <c r="AK56" s="61"/>
      <c r="AL56" s="61"/>
      <c r="AM56" s="269"/>
      <c r="AN56" s="61"/>
      <c r="AO56" s="65"/>
      <c r="AP56" s="269"/>
      <c r="AQ56" s="61"/>
      <c r="AR56" s="61"/>
      <c r="AS56" s="61"/>
      <c r="AT56" s="61"/>
      <c r="AU56" s="61"/>
      <c r="AV56" s="202"/>
      <c r="AW56" s="202"/>
    </row>
    <row r="57" spans="1:49" s="27" customFormat="1" ht="31.5" customHeight="1" x14ac:dyDescent="0.25">
      <c r="A57" s="566" t="s">
        <v>17</v>
      </c>
      <c r="B57" s="146">
        <v>2</v>
      </c>
      <c r="C57" s="74">
        <v>18</v>
      </c>
      <c r="D57" s="74"/>
      <c r="E57" s="78">
        <f>IF(C57=0," ",IF(C57=0,0,501-D57))</f>
        <v>501</v>
      </c>
      <c r="F57" s="74">
        <v>2</v>
      </c>
      <c r="G57" s="74"/>
      <c r="H57" s="78"/>
      <c r="I57" s="143"/>
      <c r="J57" s="76"/>
      <c r="K57" s="146">
        <v>2</v>
      </c>
      <c r="L57" s="74">
        <v>15</v>
      </c>
      <c r="M57" s="79">
        <v>295</v>
      </c>
      <c r="N57" s="78">
        <f>IF(L57=0," ",IF(L57=0,0,501-M57))</f>
        <v>206</v>
      </c>
      <c r="O57" s="74"/>
      <c r="P57" s="352"/>
      <c r="Q57" s="417"/>
      <c r="R57" s="365"/>
      <c r="S57" s="35"/>
      <c r="T57" s="568"/>
      <c r="U57" s="162"/>
      <c r="V57" s="200" t="str">
        <f>IF(AND(E57=501,N57=501),"TARKISTA JÄI-SARAKE"," ")</f>
        <v xml:space="preserve"> </v>
      </c>
      <c r="W57" s="198"/>
      <c r="X57" s="65"/>
      <c r="Y57" s="61"/>
      <c r="Z57" s="61"/>
      <c r="AA57" s="61"/>
      <c r="AB57" s="201" t="str">
        <f>IF(AND(C57=0,L57&gt;0),"toinen TIKAT-sarake tyhjä !",IF(AND(C57&gt;0,L57=0),"toinen TIKAT-sarake tyhjä !",""))</f>
        <v/>
      </c>
      <c r="AC57" s="61"/>
      <c r="AH57" s="61"/>
      <c r="AI57" s="61"/>
      <c r="AJ57" s="61"/>
      <c r="AK57" s="61"/>
      <c r="AL57" s="61"/>
      <c r="AM57" s="269"/>
      <c r="AN57" s="61"/>
      <c r="AO57" s="65"/>
      <c r="AP57" s="269"/>
      <c r="AQ57" s="61"/>
      <c r="AR57" s="61"/>
      <c r="AS57" s="61"/>
      <c r="AT57" s="61"/>
      <c r="AU57" s="61"/>
      <c r="AV57" s="202"/>
      <c r="AW57" s="202"/>
    </row>
    <row r="58" spans="1:49" s="27" customFormat="1" ht="31.5" customHeight="1" x14ac:dyDescent="0.25">
      <c r="A58" s="567"/>
      <c r="B58" s="146">
        <v>3</v>
      </c>
      <c r="C58" s="74">
        <v>27</v>
      </c>
      <c r="D58" s="74"/>
      <c r="E58" s="78">
        <f>IF(C58=0," ",IF(C58=0,0,501-D58))</f>
        <v>501</v>
      </c>
      <c r="F58" s="74">
        <v>1</v>
      </c>
      <c r="G58" s="74"/>
      <c r="H58" s="78"/>
      <c r="I58" s="143"/>
      <c r="J58" s="76"/>
      <c r="K58" s="146">
        <v>3</v>
      </c>
      <c r="L58" s="74">
        <v>27</v>
      </c>
      <c r="M58" s="79">
        <v>78</v>
      </c>
      <c r="N58" s="78">
        <f>IF(L58=0," ",IF(L58=0,0,501-M58))</f>
        <v>423</v>
      </c>
      <c r="O58" s="74"/>
      <c r="P58" s="352"/>
      <c r="Q58" s="417"/>
      <c r="R58" s="365"/>
      <c r="S58" s="35"/>
      <c r="T58" s="569"/>
      <c r="U58" s="162"/>
      <c r="V58" s="200" t="str">
        <f>IF(AND(E58=501,N58=501),"TARKISTA JÄI-SARAKE"," ")</f>
        <v xml:space="preserve"> </v>
      </c>
      <c r="W58" s="198"/>
      <c r="X58" s="65"/>
      <c r="Y58" s="61"/>
      <c r="Z58" s="61"/>
      <c r="AA58" s="61"/>
      <c r="AB58" s="201" t="str">
        <f>IF(AND(C58=0,L58&gt;0),"toinen TIKAT-sarake tyhjä !",IF(AND(C58&gt;0,L58=0),"toinen TIKAT-sarake tyhjä !",""))</f>
        <v/>
      </c>
      <c r="AC58" s="61"/>
      <c r="AH58" s="61"/>
      <c r="AI58" s="61"/>
      <c r="AJ58" s="61"/>
      <c r="AK58" s="61"/>
      <c r="AL58" s="61"/>
      <c r="AM58" s="269"/>
      <c r="AN58" s="61"/>
      <c r="AO58" s="65"/>
      <c r="AP58" s="269"/>
      <c r="AQ58" s="61"/>
      <c r="AR58" s="61"/>
      <c r="AS58" s="61"/>
      <c r="AT58" s="61"/>
      <c r="AU58" s="61"/>
      <c r="AV58" s="202"/>
      <c r="AW58" s="202"/>
    </row>
    <row r="59" spans="1:49" s="27" customFormat="1" ht="31.5" customHeight="1" x14ac:dyDescent="0.25">
      <c r="A59" s="567"/>
      <c r="B59" s="146">
        <v>4</v>
      </c>
      <c r="C59" s="74"/>
      <c r="D59" s="74"/>
      <c r="E59" s="78" t="str">
        <f>IF(C59=0," ",IF(C59=0,0,501-D59))</f>
        <v xml:space="preserve"> </v>
      </c>
      <c r="F59" s="74"/>
      <c r="G59" s="74"/>
      <c r="H59" s="78"/>
      <c r="I59" s="143"/>
      <c r="J59" s="76"/>
      <c r="K59" s="146">
        <v>4</v>
      </c>
      <c r="L59" s="74"/>
      <c r="M59" s="79"/>
      <c r="N59" s="78" t="str">
        <f>IF(L59=0," ",IF(L59=0,0,501-M59))</f>
        <v xml:space="preserve"> </v>
      </c>
      <c r="O59" s="74"/>
      <c r="P59" s="352"/>
      <c r="Q59" s="417"/>
      <c r="R59" s="365"/>
      <c r="S59" s="35"/>
      <c r="T59" s="569"/>
      <c r="U59" s="162"/>
      <c r="V59" s="200" t="str">
        <f>IF(AND(E59=501,N59=501),"TARKISTA JÄI-SARAKE"," ")</f>
        <v xml:space="preserve"> </v>
      </c>
      <c r="W59" s="198"/>
      <c r="X59" s="65"/>
      <c r="Y59" s="61"/>
      <c r="Z59" s="61"/>
      <c r="AA59" s="61"/>
      <c r="AB59" s="201" t="str">
        <f>IF(AND(C59=0,L59&gt;0),"toinen TIKAT-sarake tyhjä !",IF(AND(C59&gt;0,L59=0),"toinen TIKAT-sarake tyhjä !",""))</f>
        <v/>
      </c>
      <c r="AC59" s="61"/>
      <c r="AH59" s="61"/>
      <c r="AI59" s="61"/>
      <c r="AJ59" s="61"/>
      <c r="AK59" s="61"/>
      <c r="AL59" s="61"/>
      <c r="AM59" s="269"/>
      <c r="AN59" s="61"/>
      <c r="AO59" s="65"/>
      <c r="AP59" s="269"/>
      <c r="AQ59" s="61"/>
      <c r="AR59" s="61"/>
      <c r="AS59" s="61"/>
      <c r="AT59" s="61"/>
      <c r="AU59" s="61"/>
      <c r="AV59" s="202"/>
      <c r="AW59" s="202"/>
    </row>
    <row r="60" spans="1:49" s="27" customFormat="1" ht="31.5" customHeight="1" x14ac:dyDescent="0.25">
      <c r="A60" s="135"/>
      <c r="B60" s="146">
        <v>5</v>
      </c>
      <c r="C60" s="74"/>
      <c r="D60" s="74"/>
      <c r="E60" s="78" t="str">
        <f>IF(C60=0," ",IF(C60=0,0,501-D60))</f>
        <v xml:space="preserve"> </v>
      </c>
      <c r="F60" s="74"/>
      <c r="G60" s="74"/>
      <c r="H60" s="78"/>
      <c r="I60" s="143"/>
      <c r="J60" s="76"/>
      <c r="K60" s="146">
        <v>5</v>
      </c>
      <c r="L60" s="74"/>
      <c r="M60" s="79"/>
      <c r="N60" s="78" t="str">
        <f>IF(L60=0," ",IF(L60=0,0,501-M60))</f>
        <v xml:space="preserve"> </v>
      </c>
      <c r="O60" s="74"/>
      <c r="P60" s="352"/>
      <c r="Q60" s="417"/>
      <c r="R60" s="365"/>
      <c r="S60" s="35"/>
      <c r="T60" s="35"/>
      <c r="U60" s="162"/>
      <c r="V60" s="200" t="str">
        <f>IF(AND(E60=501,N60=501),"TARKISTA JÄI-SARAKE"," ")</f>
        <v xml:space="preserve"> </v>
      </c>
      <c r="W60" s="198"/>
      <c r="X60" s="65"/>
      <c r="Y60" s="61"/>
      <c r="Z60" s="61"/>
      <c r="AA60" s="61"/>
      <c r="AB60" s="201" t="str">
        <f>IF(AND(C60=0,L60&gt;0),"toinen TIKAT-sarake tyhjä !",IF(AND(C60&gt;0,L60=0),"toinen TIKAT-sarake tyhjä !",""))</f>
        <v/>
      </c>
      <c r="AC60" s="61"/>
      <c r="AH60" s="61"/>
      <c r="AI60" s="61"/>
      <c r="AJ60" s="61"/>
      <c r="AK60" s="61"/>
      <c r="AL60" s="61"/>
      <c r="AM60" s="269"/>
      <c r="AN60" s="61"/>
      <c r="AO60" s="65"/>
      <c r="AP60" s="269"/>
      <c r="AQ60" s="61"/>
      <c r="AR60" s="61"/>
      <c r="AS60" s="61"/>
      <c r="AT60" s="61"/>
      <c r="AU60" s="61"/>
      <c r="AV60" s="202"/>
      <c r="AW60" s="202"/>
    </row>
    <row r="61" spans="1:49" s="27" customFormat="1" ht="23.25" customHeight="1" thickBot="1" x14ac:dyDescent="0.3">
      <c r="A61" s="372"/>
      <c r="B61" s="375"/>
      <c r="C61" s="373">
        <f>COUNTIF(C56:C60,"&gt;0")</f>
        <v>3</v>
      </c>
      <c r="D61" s="154">
        <f>COUNTIF(D56:D60,"&gt;0")</f>
        <v>0</v>
      </c>
      <c r="E61" s="139"/>
      <c r="F61" s="139"/>
      <c r="G61" s="139"/>
      <c r="H61" s="139"/>
      <c r="I61" s="150"/>
      <c r="J61" s="151"/>
      <c r="K61" s="151"/>
      <c r="L61" s="154">
        <f>COUNTIF(L56:L60,"&gt;0")</f>
        <v>3</v>
      </c>
      <c r="M61" s="154">
        <f>COUNTIF(M56:M60,"&gt;0")</f>
        <v>3</v>
      </c>
      <c r="N61" s="139"/>
      <c r="O61" s="139"/>
      <c r="P61" s="139"/>
      <c r="Q61" s="418"/>
      <c r="R61" s="189"/>
      <c r="S61" s="35"/>
      <c r="T61" s="35"/>
      <c r="U61" s="60"/>
      <c r="V61" s="203"/>
      <c r="W61" s="61"/>
      <c r="X61" s="61"/>
      <c r="Y61" s="61"/>
      <c r="Z61" s="61"/>
      <c r="AA61" s="61"/>
      <c r="AB61" s="202"/>
      <c r="AC61" s="61"/>
      <c r="AH61" s="61"/>
      <c r="AI61" s="61"/>
      <c r="AJ61" s="61"/>
      <c r="AK61" s="61"/>
      <c r="AL61" s="61"/>
      <c r="AM61" s="269"/>
      <c r="AN61" s="61"/>
      <c r="AO61" s="65"/>
      <c r="AP61" s="269"/>
      <c r="AQ61" s="61"/>
      <c r="AR61" s="61"/>
      <c r="AS61" s="61"/>
      <c r="AT61" s="61"/>
      <c r="AU61" s="61"/>
      <c r="AV61" s="202"/>
      <c r="AW61" s="202"/>
    </row>
    <row r="62" spans="1:49" s="61" customFormat="1" ht="36.75" customHeight="1" thickBot="1" x14ac:dyDescent="0.3">
      <c r="A62" s="66"/>
      <c r="B62" s="369" t="s">
        <v>17</v>
      </c>
      <c r="C62" s="63"/>
      <c r="H62" s="27"/>
      <c r="I62" s="68"/>
      <c r="J62" s="68"/>
      <c r="K62" s="68"/>
      <c r="L62" s="68"/>
      <c r="M62" s="68"/>
      <c r="Q62" s="360"/>
      <c r="R62" s="189"/>
      <c r="S62" s="35"/>
      <c r="T62" s="35"/>
      <c r="U62" s="60"/>
      <c r="V62" s="203"/>
      <c r="AB62" s="202"/>
      <c r="AD62" s="27"/>
      <c r="AE62" s="27"/>
      <c r="AF62" s="27"/>
      <c r="AM62" s="269"/>
      <c r="AO62" s="65"/>
      <c r="AP62" s="269"/>
      <c r="AV62" s="202"/>
      <c r="AW62" s="202"/>
    </row>
    <row r="63" spans="1:49" s="27" customFormat="1" ht="27.75" customHeight="1" x14ac:dyDescent="0.25">
      <c r="A63" s="131"/>
      <c r="B63" s="132" t="s">
        <v>0</v>
      </c>
      <c r="C63" s="489" t="str">
        <f>C20</f>
        <v>Partanen Jarkko</v>
      </c>
      <c r="D63" s="489"/>
      <c r="E63" s="489"/>
      <c r="F63" s="489"/>
      <c r="G63" s="489"/>
      <c r="H63" s="159">
        <f>IF(OR(H64="L",C63=0),0,1)</f>
        <v>1</v>
      </c>
      <c r="I63" s="142"/>
      <c r="J63" s="133"/>
      <c r="K63" s="134" t="s">
        <v>0</v>
      </c>
      <c r="L63" s="308" t="str">
        <f>J20</f>
        <v>Nyholm Mikael</v>
      </c>
      <c r="M63" s="308"/>
      <c r="N63" s="308"/>
      <c r="O63" s="308"/>
      <c r="P63" s="308"/>
      <c r="Q63" s="419"/>
      <c r="R63" s="420"/>
      <c r="S63" s="60">
        <f>IF(OR(I64="L",L63=0),0,1)</f>
        <v>1</v>
      </c>
      <c r="T63" s="35"/>
      <c r="U63" s="60"/>
      <c r="V63" s="203"/>
      <c r="W63" s="61"/>
      <c r="X63" s="61"/>
      <c r="Y63" s="61"/>
      <c r="Z63" s="61"/>
      <c r="AA63" s="61"/>
      <c r="AB63" s="202"/>
      <c r="AC63" s="61"/>
      <c r="AH63" s="61"/>
      <c r="AI63" s="61"/>
      <c r="AJ63" s="61"/>
      <c r="AK63" s="61"/>
      <c r="AL63" s="61"/>
      <c r="AM63" s="269"/>
      <c r="AN63" s="61"/>
      <c r="AO63" s="65"/>
      <c r="AP63" s="269"/>
      <c r="AQ63" s="61"/>
      <c r="AR63" s="61"/>
      <c r="AS63" s="61"/>
      <c r="AT63" s="61"/>
      <c r="AU63" s="61"/>
      <c r="AV63" s="202"/>
      <c r="AW63" s="202"/>
    </row>
    <row r="64" spans="1:49" s="27" customFormat="1" x14ac:dyDescent="0.25">
      <c r="A64" s="135"/>
      <c r="B64" s="35"/>
      <c r="C64" s="35"/>
      <c r="D64" s="35"/>
      <c r="E64" s="35"/>
      <c r="F64" s="35"/>
      <c r="G64" s="35"/>
      <c r="H64" s="170"/>
      <c r="I64" s="510"/>
      <c r="J64" s="511"/>
      <c r="K64" s="76"/>
      <c r="L64" s="76"/>
      <c r="M64" s="76"/>
      <c r="N64" s="35"/>
      <c r="O64" s="35"/>
      <c r="P64" s="35"/>
      <c r="Q64" s="367"/>
      <c r="R64" s="189"/>
      <c r="S64" s="35"/>
      <c r="U64" s="61"/>
      <c r="V64" s="202"/>
      <c r="W64" s="61"/>
      <c r="X64" s="61"/>
      <c r="Y64" s="61"/>
      <c r="Z64" s="61"/>
      <c r="AA64" s="61"/>
      <c r="AB64" s="202"/>
      <c r="AC64" s="61"/>
      <c r="AH64" s="61"/>
      <c r="AI64" s="61"/>
      <c r="AJ64" s="61"/>
      <c r="AK64" s="61"/>
      <c r="AL64" s="61"/>
      <c r="AM64" s="269"/>
      <c r="AN64" s="61"/>
      <c r="AO64" s="65"/>
      <c r="AP64" s="269"/>
      <c r="AQ64" s="61"/>
      <c r="AR64" s="61"/>
      <c r="AS64" s="61"/>
      <c r="AT64" s="61"/>
      <c r="AU64" s="61"/>
      <c r="AV64" s="202"/>
      <c r="AW64" s="202"/>
    </row>
    <row r="65" spans="1:49" s="27" customFormat="1" ht="23.25" customHeight="1" x14ac:dyDescent="0.25">
      <c r="A65" s="135"/>
      <c r="B65" s="147" t="s">
        <v>1</v>
      </c>
      <c r="C65" s="72" t="s">
        <v>13</v>
      </c>
      <c r="D65" s="72" t="s">
        <v>14</v>
      </c>
      <c r="E65" s="130" t="s">
        <v>5</v>
      </c>
      <c r="F65" s="72" t="s">
        <v>15</v>
      </c>
      <c r="G65" s="72" t="s">
        <v>16</v>
      </c>
      <c r="H65" s="72"/>
      <c r="I65" s="144"/>
      <c r="J65" s="73"/>
      <c r="K65" s="147" t="s">
        <v>1</v>
      </c>
      <c r="L65" s="72" t="s">
        <v>13</v>
      </c>
      <c r="M65" s="72" t="s">
        <v>14</v>
      </c>
      <c r="N65" s="130" t="s">
        <v>5</v>
      </c>
      <c r="O65" s="318" t="s">
        <v>15</v>
      </c>
      <c r="P65" s="72" t="s">
        <v>16</v>
      </c>
      <c r="Q65" s="416"/>
      <c r="R65" s="360"/>
      <c r="S65" s="35"/>
      <c r="U65" s="61"/>
      <c r="V65" s="202"/>
      <c r="W65" s="61"/>
      <c r="X65" s="61"/>
      <c r="Y65" s="61"/>
      <c r="Z65" s="61"/>
      <c r="AA65" s="61"/>
      <c r="AB65" s="202"/>
      <c r="AC65" s="61"/>
      <c r="AH65" s="61"/>
      <c r="AI65" s="61"/>
      <c r="AJ65" s="61"/>
      <c r="AK65" s="61"/>
      <c r="AL65" s="61"/>
      <c r="AM65" s="269"/>
      <c r="AN65" s="61"/>
      <c r="AO65" s="65"/>
      <c r="AP65" s="269"/>
      <c r="AQ65" s="61"/>
      <c r="AR65" s="61"/>
      <c r="AS65" s="61"/>
      <c r="AT65" s="61"/>
      <c r="AU65" s="61"/>
      <c r="AV65" s="202"/>
      <c r="AW65" s="202"/>
    </row>
    <row r="66" spans="1:49" s="27" customFormat="1" ht="30.75" customHeight="1" x14ac:dyDescent="0.25">
      <c r="A66" s="135"/>
      <c r="B66" s="146">
        <v>1</v>
      </c>
      <c r="C66" s="74">
        <v>33</v>
      </c>
      <c r="D66" s="79">
        <v>39</v>
      </c>
      <c r="E66" s="78">
        <f>IF(C66=0,"",IF(C66=0,0,501-D66))</f>
        <v>462</v>
      </c>
      <c r="F66" s="74"/>
      <c r="G66" s="74"/>
      <c r="H66" s="77">
        <f>IF(AND(H63=1,S63=0),1,IF(COUNT(C66:C70)&gt;2,IF(COUNT(D66:D70)=3,0,1),0))</f>
        <v>0</v>
      </c>
      <c r="I66" s="143"/>
      <c r="J66" s="76"/>
      <c r="K66" s="146">
        <v>1</v>
      </c>
      <c r="L66" s="74">
        <v>35</v>
      </c>
      <c r="M66" s="79"/>
      <c r="N66" s="78">
        <f>IF(L66=0," ",IF(L66=0,0,501-M66))</f>
        <v>501</v>
      </c>
      <c r="O66" s="74">
        <v>1</v>
      </c>
      <c r="P66" s="352"/>
      <c r="Q66" s="417"/>
      <c r="R66" s="365"/>
      <c r="S66" s="35"/>
      <c r="U66" s="75">
        <f>IF(AND(S63=1,H63=0),1,IF(COUNT(L66:L70)&gt;2,IF(COUNT(M66:M70)=3,0,1),0))</f>
        <v>1</v>
      </c>
      <c r="V66" s="200" t="str">
        <f>IF(AND(E66=501,N66=501),"TARKISTA JÄI-SARAKE"," ")</f>
        <v xml:space="preserve"> </v>
      </c>
      <c r="W66" s="61"/>
      <c r="X66" s="61"/>
      <c r="Y66" s="61"/>
      <c r="Z66" s="61"/>
      <c r="AA66" s="61"/>
      <c r="AB66" s="201" t="str">
        <f>IF(AND(C66=0,L66&gt;0),"toinen TIKAT-sarake tyhjä !",IF(AND(C66&gt;0,L66=0),"toinen TIKAT-sarake tyhjä !",""))</f>
        <v/>
      </c>
      <c r="AC66" s="61"/>
      <c r="AH66" s="61"/>
      <c r="AI66" s="61"/>
      <c r="AJ66" s="61"/>
      <c r="AK66" s="61"/>
      <c r="AL66" s="61"/>
      <c r="AM66" s="269"/>
      <c r="AN66" s="61"/>
      <c r="AO66" s="65"/>
      <c r="AP66" s="269"/>
      <c r="AQ66" s="61"/>
      <c r="AR66" s="61"/>
      <c r="AS66" s="61"/>
      <c r="AT66" s="61"/>
      <c r="AU66" s="61"/>
      <c r="AV66" s="202"/>
      <c r="AW66" s="202"/>
    </row>
    <row r="67" spans="1:49" s="27" customFormat="1" ht="30.75" customHeight="1" x14ac:dyDescent="0.25">
      <c r="A67" s="566" t="s">
        <v>18</v>
      </c>
      <c r="B67" s="146">
        <v>2</v>
      </c>
      <c r="C67" s="74">
        <v>27</v>
      </c>
      <c r="D67" s="79">
        <v>160</v>
      </c>
      <c r="E67" s="78">
        <f>IF(C67=0," ",IF(C67=0,0,501-D67))</f>
        <v>341</v>
      </c>
      <c r="F67" s="74">
        <v>1</v>
      </c>
      <c r="G67" s="74"/>
      <c r="H67" s="35"/>
      <c r="I67" s="143"/>
      <c r="J67" s="76"/>
      <c r="K67" s="146">
        <v>2</v>
      </c>
      <c r="L67" s="74">
        <v>25</v>
      </c>
      <c r="M67" s="79"/>
      <c r="N67" s="78">
        <f>IF(L67=0," ",IF(L67=0,0,501-M67))</f>
        <v>501</v>
      </c>
      <c r="O67" s="74">
        <v>2</v>
      </c>
      <c r="P67" s="352"/>
      <c r="Q67" s="417"/>
      <c r="R67" s="365"/>
      <c r="S67" s="35"/>
      <c r="U67" s="61"/>
      <c r="V67" s="200" t="str">
        <f>IF(AND(E67=501,N67=501),"TARKISTA JÄI-SARAKE"," ")</f>
        <v xml:space="preserve"> </v>
      </c>
      <c r="W67" s="198"/>
      <c r="X67" s="65"/>
      <c r="Y67" s="61"/>
      <c r="Z67" s="61"/>
      <c r="AA67" s="61"/>
      <c r="AB67" s="201" t="str">
        <f>IF(AND(C67=0,L67&gt;0),"toinen TIKAT-sarake tyhjä !",IF(AND(C67&gt;0,L67=0),"toinen TIKAT-sarake tyhjä !",""))</f>
        <v/>
      </c>
      <c r="AC67" s="61"/>
      <c r="AH67" s="61"/>
      <c r="AI67" s="61"/>
      <c r="AJ67" s="61"/>
      <c r="AK67" s="61"/>
      <c r="AL67" s="61"/>
      <c r="AM67" s="269"/>
      <c r="AN67" s="61"/>
      <c r="AO67" s="65"/>
      <c r="AP67" s="269"/>
      <c r="AQ67" s="61"/>
      <c r="AR67" s="61"/>
      <c r="AS67" s="61"/>
      <c r="AT67" s="61"/>
      <c r="AU67" s="61"/>
      <c r="AV67" s="202"/>
      <c r="AW67" s="202"/>
    </row>
    <row r="68" spans="1:49" s="27" customFormat="1" ht="30.75" customHeight="1" x14ac:dyDescent="0.25">
      <c r="A68" s="567"/>
      <c r="B68" s="146">
        <v>3</v>
      </c>
      <c r="C68" s="74">
        <v>27</v>
      </c>
      <c r="D68" s="79">
        <v>186</v>
      </c>
      <c r="E68" s="78">
        <f>IF(C68=0," ",IF(C68=0,0,501-D68))</f>
        <v>315</v>
      </c>
      <c r="F68" s="74"/>
      <c r="G68" s="74"/>
      <c r="H68" s="35"/>
      <c r="I68" s="143"/>
      <c r="J68" s="76"/>
      <c r="K68" s="146">
        <v>3</v>
      </c>
      <c r="L68" s="74">
        <v>29</v>
      </c>
      <c r="M68" s="79"/>
      <c r="N68" s="78">
        <f>IF(L68=0," ",IF(L68=0,0,501-M68))</f>
        <v>501</v>
      </c>
      <c r="O68" s="74"/>
      <c r="P68" s="352"/>
      <c r="Q68" s="417"/>
      <c r="R68" s="365"/>
      <c r="S68" s="35"/>
      <c r="U68" s="61"/>
      <c r="V68" s="200" t="str">
        <f>IF(AND(E68=501,N68=501),"TARKISTA JÄI-SARAKE"," ")</f>
        <v xml:space="preserve"> </v>
      </c>
      <c r="W68" s="198"/>
      <c r="X68" s="65"/>
      <c r="Y68" s="61"/>
      <c r="Z68" s="61"/>
      <c r="AA68" s="61"/>
      <c r="AB68" s="201" t="str">
        <f>IF(AND(C68=0,L68&gt;0),"toinen TIKAT-sarake tyhjä !",IF(AND(C68&gt;0,L68=0),"toinen TIKAT-sarake tyhjä !",""))</f>
        <v/>
      </c>
      <c r="AC68" s="61"/>
      <c r="AH68" s="61"/>
      <c r="AI68" s="61"/>
      <c r="AJ68" s="61"/>
      <c r="AK68" s="61"/>
      <c r="AL68" s="61"/>
      <c r="AM68" s="269"/>
      <c r="AN68" s="61"/>
      <c r="AO68" s="65"/>
      <c r="AP68" s="269"/>
      <c r="AQ68" s="61"/>
      <c r="AR68" s="61"/>
      <c r="AS68" s="61"/>
      <c r="AT68" s="61"/>
      <c r="AU68" s="61"/>
      <c r="AV68" s="202"/>
      <c r="AW68" s="202"/>
    </row>
    <row r="69" spans="1:49" s="27" customFormat="1" ht="30.75" customHeight="1" x14ac:dyDescent="0.25">
      <c r="A69" s="567"/>
      <c r="B69" s="146">
        <v>4</v>
      </c>
      <c r="C69" s="74"/>
      <c r="D69" s="74"/>
      <c r="E69" s="78" t="str">
        <f>IF(C69=0," ",IF(C69=0,0,501-D69))</f>
        <v xml:space="preserve"> </v>
      </c>
      <c r="F69" s="74"/>
      <c r="G69" s="74"/>
      <c r="H69" s="35"/>
      <c r="I69" s="143"/>
      <c r="J69" s="76"/>
      <c r="K69" s="146">
        <v>4</v>
      </c>
      <c r="L69" s="74"/>
      <c r="M69" s="79"/>
      <c r="N69" s="78" t="str">
        <f>IF(L69=0," ",IF(L69=0,0,501-M69))</f>
        <v xml:space="preserve"> </v>
      </c>
      <c r="O69" s="74"/>
      <c r="P69" s="352"/>
      <c r="Q69" s="417"/>
      <c r="R69" s="365"/>
      <c r="S69" s="35"/>
      <c r="U69" s="61"/>
      <c r="V69" s="200" t="str">
        <f>IF(AND(E69=501,N69=501),"TARKISTA JÄI-SARAKE"," ")</f>
        <v xml:space="preserve"> </v>
      </c>
      <c r="W69" s="198"/>
      <c r="X69" s="65"/>
      <c r="Y69" s="61"/>
      <c r="Z69" s="61"/>
      <c r="AA69" s="61"/>
      <c r="AB69" s="201" t="str">
        <f>IF(AND(C69=0,L69&gt;0),"toinen TIKAT-sarake tyhjä !",IF(AND(C69&gt;0,L69=0),"toinen TIKAT-sarake tyhjä !",""))</f>
        <v/>
      </c>
      <c r="AC69" s="61"/>
      <c r="AH69" s="61"/>
      <c r="AI69" s="61"/>
      <c r="AJ69" s="61"/>
      <c r="AK69" s="61"/>
      <c r="AL69" s="61"/>
      <c r="AM69" s="269"/>
      <c r="AN69" s="61"/>
      <c r="AO69" s="65"/>
      <c r="AP69" s="269"/>
      <c r="AQ69" s="61"/>
      <c r="AR69" s="61"/>
      <c r="AS69" s="61"/>
      <c r="AT69" s="61"/>
      <c r="AU69" s="61"/>
      <c r="AV69" s="202"/>
      <c r="AW69" s="202"/>
    </row>
    <row r="70" spans="1:49" s="27" customFormat="1" ht="30.75" customHeight="1" x14ac:dyDescent="0.25">
      <c r="A70" s="135"/>
      <c r="B70" s="146">
        <v>5</v>
      </c>
      <c r="C70" s="74"/>
      <c r="D70" s="74"/>
      <c r="E70" s="78" t="str">
        <f>IF(C70=0," ",IF(C70=0,0,501-D70))</f>
        <v xml:space="preserve"> </v>
      </c>
      <c r="F70" s="74"/>
      <c r="G70" s="74"/>
      <c r="H70" s="35"/>
      <c r="I70" s="143"/>
      <c r="J70" s="76"/>
      <c r="K70" s="146">
        <v>5</v>
      </c>
      <c r="L70" s="74"/>
      <c r="M70" s="79"/>
      <c r="N70" s="78" t="str">
        <f>IF(L70=0," ",IF(L70=0,0,501-M70))</f>
        <v xml:space="preserve"> </v>
      </c>
      <c r="O70" s="74"/>
      <c r="P70" s="352"/>
      <c r="Q70" s="417"/>
      <c r="R70" s="365"/>
      <c r="S70" s="35"/>
      <c r="U70" s="61"/>
      <c r="V70" s="200" t="str">
        <f>IF(AND(E70=501,N70=501),"TARKISTA JÄI-SARAKE"," ")</f>
        <v xml:space="preserve"> </v>
      </c>
      <c r="W70" s="198"/>
      <c r="X70" s="65"/>
      <c r="Y70" s="61"/>
      <c r="Z70" s="61"/>
      <c r="AA70" s="61"/>
      <c r="AB70" s="201" t="str">
        <f>IF(AND(C70=0,L70&gt;0),"toinen TIKAT-sarake tyhjä !",IF(AND(C70&gt;0,L70=0),"toinen TIKAT-sarake tyhjä !",""))</f>
        <v/>
      </c>
      <c r="AC70" s="61"/>
      <c r="AH70" s="61"/>
      <c r="AI70" s="61"/>
      <c r="AJ70" s="61"/>
      <c r="AK70" s="61"/>
      <c r="AL70" s="61"/>
      <c r="AM70" s="269"/>
      <c r="AN70" s="61"/>
      <c r="AO70" s="65"/>
      <c r="AP70" s="269"/>
      <c r="AQ70" s="61"/>
      <c r="AR70" s="61"/>
      <c r="AS70" s="61"/>
      <c r="AT70" s="61"/>
      <c r="AU70" s="61"/>
      <c r="AV70" s="202"/>
      <c r="AW70" s="202"/>
    </row>
    <row r="71" spans="1:49" s="27" customFormat="1" ht="17.25" customHeight="1" thickBot="1" x14ac:dyDescent="0.3">
      <c r="A71" s="372"/>
      <c r="B71" s="369" t="s">
        <v>18</v>
      </c>
      <c r="C71" s="373">
        <f>COUNTIF(C66:C70,"&gt;0")</f>
        <v>3</v>
      </c>
      <c r="D71" s="154">
        <f>COUNTIF(D66:D70,"&gt;0")</f>
        <v>3</v>
      </c>
      <c r="E71" s="139"/>
      <c r="F71" s="139"/>
      <c r="G71" s="139"/>
      <c r="H71" s="139"/>
      <c r="I71" s="150"/>
      <c r="J71" s="151"/>
      <c r="K71" s="151"/>
      <c r="L71" s="154">
        <f>COUNTIF(L66:L70,"&gt;0")</f>
        <v>3</v>
      </c>
      <c r="M71" s="154">
        <f>COUNTIF(M66:M70,"&gt;0")</f>
        <v>0</v>
      </c>
      <c r="N71" s="139"/>
      <c r="O71" s="139"/>
      <c r="P71" s="139"/>
      <c r="Q71" s="418"/>
      <c r="R71" s="189"/>
      <c r="S71" s="35"/>
      <c r="U71" s="61"/>
      <c r="V71" s="202"/>
      <c r="W71" s="61"/>
      <c r="X71" s="61"/>
      <c r="Y71" s="61"/>
      <c r="Z71" s="61"/>
      <c r="AA71" s="61"/>
      <c r="AB71" s="202"/>
      <c r="AC71" s="61"/>
      <c r="AH71" s="61"/>
      <c r="AI71" s="61"/>
      <c r="AJ71" s="61"/>
      <c r="AK71" s="61"/>
      <c r="AL71" s="61"/>
      <c r="AM71" s="269"/>
      <c r="AN71" s="61"/>
      <c r="AO71" s="65"/>
      <c r="AP71" s="269"/>
      <c r="AQ71" s="61"/>
      <c r="AR71" s="61"/>
      <c r="AS71" s="61"/>
      <c r="AT71" s="61"/>
      <c r="AU71" s="61"/>
      <c r="AV71" s="202"/>
      <c r="AW71" s="202"/>
    </row>
    <row r="72" spans="1:49" s="61" customFormat="1" ht="36" customHeight="1" thickBot="1" x14ac:dyDescent="0.3">
      <c r="A72" s="66"/>
      <c r="B72" s="63"/>
      <c r="C72" s="63"/>
      <c r="H72" s="27"/>
      <c r="I72" s="68"/>
      <c r="J72" s="68"/>
      <c r="K72" s="68"/>
      <c r="L72" s="68"/>
      <c r="M72" s="68"/>
      <c r="Q72" s="63"/>
      <c r="R72" s="66"/>
      <c r="S72" s="60"/>
      <c r="T72" s="27"/>
      <c r="V72" s="202"/>
      <c r="AB72" s="202"/>
      <c r="AD72" s="27"/>
      <c r="AE72" s="27"/>
      <c r="AF72" s="27"/>
      <c r="AM72" s="269"/>
      <c r="AO72" s="65"/>
      <c r="AP72" s="269"/>
      <c r="AV72" s="202"/>
      <c r="AW72" s="202"/>
    </row>
    <row r="73" spans="1:49" s="27" customFormat="1" ht="27" customHeight="1" x14ac:dyDescent="0.25">
      <c r="A73" s="131"/>
      <c r="B73" s="132" t="s">
        <v>0</v>
      </c>
      <c r="C73" s="489" t="str">
        <f>C21</f>
        <v>Mantila Petri</v>
      </c>
      <c r="D73" s="489"/>
      <c r="E73" s="489"/>
      <c r="F73" s="489"/>
      <c r="G73" s="489"/>
      <c r="H73" s="159">
        <f>IF(OR(H74="L",C73=0),0,1)</f>
        <v>1</v>
      </c>
      <c r="I73" s="142"/>
      <c r="J73" s="133"/>
      <c r="K73" s="134" t="s">
        <v>0</v>
      </c>
      <c r="L73" s="308" t="str">
        <f>J21</f>
        <v>Lindholm Tobias</v>
      </c>
      <c r="M73" s="308"/>
      <c r="N73" s="308"/>
      <c r="O73" s="308"/>
      <c r="P73" s="308"/>
      <c r="Q73" s="419"/>
      <c r="R73" s="420"/>
      <c r="S73" s="60">
        <f>IF(OR(I74="L",L73=0),0,1)</f>
        <v>1</v>
      </c>
      <c r="U73" s="61"/>
      <c r="V73" s="202"/>
      <c r="W73" s="61"/>
      <c r="X73" s="61"/>
      <c r="Y73" s="61"/>
      <c r="Z73" s="61"/>
      <c r="AA73" s="61"/>
      <c r="AB73" s="202"/>
      <c r="AC73" s="61"/>
      <c r="AH73" s="61"/>
      <c r="AI73" s="61"/>
      <c r="AJ73" s="61"/>
      <c r="AK73" s="61"/>
      <c r="AL73" s="61"/>
      <c r="AM73" s="269"/>
      <c r="AN73" s="61"/>
      <c r="AO73" s="65"/>
      <c r="AP73" s="269"/>
      <c r="AQ73" s="61"/>
      <c r="AR73" s="61"/>
      <c r="AS73" s="61"/>
      <c r="AT73" s="61"/>
      <c r="AU73" s="61"/>
      <c r="AV73" s="202"/>
      <c r="AW73" s="202"/>
    </row>
    <row r="74" spans="1:49" s="27" customFormat="1" x14ac:dyDescent="0.25">
      <c r="A74" s="135"/>
      <c r="B74" s="35"/>
      <c r="C74" s="35"/>
      <c r="D74" s="35"/>
      <c r="E74" s="35"/>
      <c r="F74" s="35"/>
      <c r="G74" s="35"/>
      <c r="H74" s="170"/>
      <c r="I74" s="510"/>
      <c r="J74" s="511"/>
      <c r="K74" s="76"/>
      <c r="L74" s="76"/>
      <c r="M74" s="76"/>
      <c r="N74" s="35"/>
      <c r="O74" s="35"/>
      <c r="P74" s="35"/>
      <c r="Q74" s="367"/>
      <c r="R74" s="189"/>
      <c r="S74" s="35"/>
      <c r="U74" s="61"/>
      <c r="V74" s="202"/>
      <c r="W74" s="61"/>
      <c r="X74" s="61"/>
      <c r="Y74" s="61"/>
      <c r="Z74" s="61"/>
      <c r="AA74" s="61"/>
      <c r="AB74" s="202"/>
      <c r="AC74" s="61"/>
      <c r="AH74" s="61"/>
      <c r="AI74" s="61"/>
      <c r="AJ74" s="61"/>
      <c r="AK74" s="61"/>
      <c r="AL74" s="61"/>
      <c r="AM74" s="269"/>
      <c r="AN74" s="61"/>
      <c r="AO74" s="65"/>
      <c r="AP74" s="269"/>
      <c r="AQ74" s="61"/>
      <c r="AR74" s="61"/>
      <c r="AS74" s="61"/>
      <c r="AT74" s="61"/>
      <c r="AU74" s="61"/>
      <c r="AV74" s="202"/>
      <c r="AW74" s="202"/>
    </row>
    <row r="75" spans="1:49" s="27" customFormat="1" x14ac:dyDescent="0.25">
      <c r="A75" s="135"/>
      <c r="B75" s="147" t="s">
        <v>1</v>
      </c>
      <c r="C75" s="72" t="s">
        <v>13</v>
      </c>
      <c r="D75" s="72" t="s">
        <v>14</v>
      </c>
      <c r="E75" s="130" t="s">
        <v>5</v>
      </c>
      <c r="F75" s="72" t="s">
        <v>15</v>
      </c>
      <c r="G75" s="72" t="s">
        <v>16</v>
      </c>
      <c r="H75" s="153"/>
      <c r="I75" s="144"/>
      <c r="J75" s="73"/>
      <c r="K75" s="147" t="s">
        <v>1</v>
      </c>
      <c r="L75" s="72" t="s">
        <v>13</v>
      </c>
      <c r="M75" s="72" t="s">
        <v>14</v>
      </c>
      <c r="N75" s="130" t="s">
        <v>5</v>
      </c>
      <c r="O75" s="318" t="s">
        <v>15</v>
      </c>
      <c r="P75" s="72" t="s">
        <v>16</v>
      </c>
      <c r="Q75" s="416"/>
      <c r="R75" s="360"/>
      <c r="S75" s="35"/>
      <c r="U75" s="61"/>
      <c r="V75" s="202"/>
      <c r="W75" s="61"/>
      <c r="X75" s="61"/>
      <c r="Y75" s="61"/>
      <c r="Z75" s="61"/>
      <c r="AA75" s="61"/>
      <c r="AB75" s="202"/>
      <c r="AC75" s="61"/>
      <c r="AH75" s="61"/>
      <c r="AI75" s="61"/>
      <c r="AJ75" s="61"/>
      <c r="AK75" s="61"/>
      <c r="AL75" s="61"/>
      <c r="AM75" s="269"/>
      <c r="AN75" s="61"/>
      <c r="AO75" s="65"/>
      <c r="AP75" s="269"/>
      <c r="AQ75" s="61"/>
      <c r="AR75" s="61"/>
      <c r="AS75" s="61"/>
      <c r="AT75" s="61"/>
      <c r="AU75" s="61"/>
      <c r="AV75" s="202"/>
      <c r="AW75" s="202"/>
    </row>
    <row r="76" spans="1:49" s="27" customFormat="1" ht="30.75" customHeight="1" x14ac:dyDescent="0.25">
      <c r="A76" s="135"/>
      <c r="B76" s="146">
        <v>1</v>
      </c>
      <c r="C76" s="74">
        <v>26</v>
      </c>
      <c r="D76" s="74"/>
      <c r="E76" s="78">
        <f>IF(C76=0,"",IF(C76=0,0,501-D76))</f>
        <v>501</v>
      </c>
      <c r="F76" s="74">
        <v>2</v>
      </c>
      <c r="G76" s="74"/>
      <c r="H76" s="158">
        <f>IF(AND(H73=1,S73=0),1,IF(COUNT(C76:C80)&gt;2,IF(COUNT(D76:D80)=3,0,1),0))</f>
        <v>0</v>
      </c>
      <c r="I76" s="143"/>
      <c r="J76" s="76"/>
      <c r="K76" s="146">
        <v>1</v>
      </c>
      <c r="L76" s="74">
        <v>24</v>
      </c>
      <c r="M76" s="79">
        <v>68</v>
      </c>
      <c r="N76" s="78">
        <f>IF(L76=0," ",IF(L76=0,0,501-M76))</f>
        <v>433</v>
      </c>
      <c r="O76" s="74">
        <v>2</v>
      </c>
      <c r="P76" s="352"/>
      <c r="Q76" s="417"/>
      <c r="R76" s="365"/>
      <c r="S76" s="35"/>
      <c r="U76" s="75">
        <f>IF(AND(S73=1,H73=0),1,IF(COUNT(L76:L80)&gt;2,IF(COUNT(M76:M80)=3,0,1),0))</f>
        <v>1</v>
      </c>
      <c r="V76" s="200" t="str">
        <f>IF(AND(E76=501,N76=501),"TARKISTA JÄI-SARAKE"," ")</f>
        <v xml:space="preserve"> </v>
      </c>
      <c r="W76" s="61"/>
      <c r="X76" s="61"/>
      <c r="Y76" s="61"/>
      <c r="Z76" s="61"/>
      <c r="AA76" s="61"/>
      <c r="AB76" s="201" t="str">
        <f>IF(AND(C76=0,L76&gt;0),"toinen TIKAT-sarake tyhjä !",IF(AND(C76&gt;0,L76=0),"toinen TIKAT-sarake tyhjä !",""))</f>
        <v/>
      </c>
      <c r="AC76" s="61"/>
      <c r="AH76" s="61"/>
      <c r="AI76" s="61"/>
      <c r="AJ76" s="61"/>
      <c r="AK76" s="61"/>
      <c r="AL76" s="61"/>
      <c r="AM76" s="269"/>
      <c r="AN76" s="61"/>
      <c r="AO76" s="65"/>
      <c r="AP76" s="269"/>
      <c r="AQ76" s="61"/>
      <c r="AR76" s="61"/>
      <c r="AS76" s="61"/>
      <c r="AT76" s="61"/>
      <c r="AU76" s="61"/>
      <c r="AV76" s="202"/>
      <c r="AW76" s="202"/>
    </row>
    <row r="77" spans="1:49" s="27" customFormat="1" ht="30.75" customHeight="1" x14ac:dyDescent="0.25">
      <c r="A77" s="566" t="s">
        <v>19</v>
      </c>
      <c r="B77" s="146">
        <v>2</v>
      </c>
      <c r="C77" s="74">
        <v>36</v>
      </c>
      <c r="D77" s="74">
        <v>40</v>
      </c>
      <c r="E77" s="78">
        <f>IF(C77=0," ",IF(C77=0,0,501-D77))</f>
        <v>461</v>
      </c>
      <c r="F77" s="74"/>
      <c r="G77" s="74"/>
      <c r="H77" s="136"/>
      <c r="I77" s="143"/>
      <c r="J77" s="76"/>
      <c r="K77" s="146">
        <v>2</v>
      </c>
      <c r="L77" s="74">
        <v>38</v>
      </c>
      <c r="M77" s="79"/>
      <c r="N77" s="78">
        <f>IF(L77=0," ",IF(L77=0,0,501-M77))</f>
        <v>501</v>
      </c>
      <c r="O77" s="74">
        <v>2</v>
      </c>
      <c r="P77" s="352"/>
      <c r="Q77" s="417"/>
      <c r="R77" s="365"/>
      <c r="S77" s="35"/>
      <c r="U77" s="61"/>
      <c r="V77" s="200" t="str">
        <f>IF(AND(E77=501,N77=501),"TARKISTA JÄI-SARAKE"," ")</f>
        <v xml:space="preserve"> </v>
      </c>
      <c r="W77" s="198"/>
      <c r="X77" s="65"/>
      <c r="Y77" s="61"/>
      <c r="Z77" s="61"/>
      <c r="AA77" s="61"/>
      <c r="AB77" s="201" t="str">
        <f>IF(AND(C77=0,L77&gt;0),"toinen TIKAT-sarake tyhjä !",IF(AND(C77&gt;0,L77=0),"toinen TIKAT-sarake tyhjä !",""))</f>
        <v/>
      </c>
      <c r="AC77" s="61"/>
      <c r="AH77" s="61"/>
      <c r="AI77" s="61"/>
      <c r="AJ77" s="61"/>
      <c r="AK77" s="61"/>
      <c r="AL77" s="61"/>
      <c r="AM77" s="269"/>
      <c r="AN77" s="61"/>
      <c r="AO77" s="65"/>
      <c r="AP77" s="269"/>
      <c r="AQ77" s="61"/>
      <c r="AR77" s="61"/>
      <c r="AS77" s="61"/>
      <c r="AT77" s="61"/>
      <c r="AU77" s="61"/>
      <c r="AV77" s="202"/>
      <c r="AW77" s="202"/>
    </row>
    <row r="78" spans="1:49" s="27" customFormat="1" ht="30.75" customHeight="1" x14ac:dyDescent="0.25">
      <c r="A78" s="567"/>
      <c r="B78" s="146">
        <v>3</v>
      </c>
      <c r="C78" s="74">
        <v>24</v>
      </c>
      <c r="D78" s="74">
        <v>114</v>
      </c>
      <c r="E78" s="78">
        <f>IF(C78=0," ",IF(C78=0,0,501-D78))</f>
        <v>387</v>
      </c>
      <c r="F78" s="74">
        <v>1</v>
      </c>
      <c r="G78" s="74"/>
      <c r="H78" s="136"/>
      <c r="I78" s="143"/>
      <c r="J78" s="76"/>
      <c r="K78" s="146">
        <v>3</v>
      </c>
      <c r="L78" s="74">
        <v>24</v>
      </c>
      <c r="M78" s="79"/>
      <c r="N78" s="78">
        <f>IF(L78=0," ",IF(L78=0,0,501-M78))</f>
        <v>501</v>
      </c>
      <c r="O78" s="74">
        <v>1</v>
      </c>
      <c r="P78" s="352"/>
      <c r="Q78" s="417"/>
      <c r="R78" s="365"/>
      <c r="S78" s="35"/>
      <c r="U78" s="61"/>
      <c r="V78" s="200" t="str">
        <f>IF(AND(E78=501,N78=501),"TARKISTA JÄI-SARAKE"," ")</f>
        <v xml:space="preserve"> </v>
      </c>
      <c r="W78" s="198"/>
      <c r="X78" s="65"/>
      <c r="Y78" s="61"/>
      <c r="Z78" s="61"/>
      <c r="AA78" s="61"/>
      <c r="AB78" s="201" t="str">
        <f>IF(AND(C78=0,L78&gt;0),"toinen TIKAT-sarake tyhjä !",IF(AND(C78&gt;0,L78=0),"toinen TIKAT-sarake tyhjä !",""))</f>
        <v/>
      </c>
      <c r="AC78" s="61"/>
      <c r="AH78" s="61"/>
      <c r="AI78" s="61"/>
      <c r="AJ78" s="61"/>
      <c r="AK78" s="61"/>
      <c r="AL78" s="61"/>
      <c r="AM78" s="269"/>
      <c r="AN78" s="61"/>
      <c r="AO78" s="65"/>
      <c r="AP78" s="269"/>
      <c r="AQ78" s="61"/>
      <c r="AR78" s="61"/>
      <c r="AS78" s="61"/>
      <c r="AT78" s="61"/>
      <c r="AU78" s="61"/>
      <c r="AV78" s="202"/>
      <c r="AW78" s="202"/>
    </row>
    <row r="79" spans="1:49" s="27" customFormat="1" ht="30.75" customHeight="1" x14ac:dyDescent="0.25">
      <c r="A79" s="567"/>
      <c r="B79" s="146">
        <v>4</v>
      </c>
      <c r="C79" s="74">
        <v>33</v>
      </c>
      <c r="D79" s="74">
        <v>10</v>
      </c>
      <c r="E79" s="78">
        <f>IF(C79=0," ",IF(C79=0,0,501-D79))</f>
        <v>491</v>
      </c>
      <c r="F79" s="74">
        <v>1</v>
      </c>
      <c r="G79" s="74">
        <v>1</v>
      </c>
      <c r="H79" s="136"/>
      <c r="I79" s="143"/>
      <c r="J79" s="76"/>
      <c r="K79" s="146">
        <v>4</v>
      </c>
      <c r="L79" s="74">
        <v>36</v>
      </c>
      <c r="M79" s="79"/>
      <c r="N79" s="78">
        <f>IF(L79=0," ",IF(L79=0,0,501-M79))</f>
        <v>501</v>
      </c>
      <c r="O79" s="74">
        <v>1</v>
      </c>
      <c r="P79" s="352"/>
      <c r="Q79" s="417"/>
      <c r="R79" s="365"/>
      <c r="S79" s="35"/>
      <c r="U79" s="61"/>
      <c r="V79" s="200" t="str">
        <f>IF(AND(E79=501,N79=501),"TARKISTA JÄI-SARAKE"," ")</f>
        <v xml:space="preserve"> </v>
      </c>
      <c r="W79" s="198"/>
      <c r="X79" s="65"/>
      <c r="Y79" s="61"/>
      <c r="Z79" s="61"/>
      <c r="AA79" s="61"/>
      <c r="AB79" s="201" t="str">
        <f>IF(AND(C79=0,L79&gt;0),"toinen TIKAT-sarake tyhjä !",IF(AND(C79&gt;0,L79=0),"toinen TIKAT-sarake tyhjä !",""))</f>
        <v/>
      </c>
      <c r="AC79" s="61"/>
      <c r="AH79" s="61"/>
      <c r="AI79" s="61"/>
      <c r="AJ79" s="61"/>
      <c r="AK79" s="61"/>
      <c r="AL79" s="61"/>
      <c r="AM79" s="269"/>
      <c r="AN79" s="61"/>
      <c r="AO79" s="65"/>
      <c r="AP79" s="269"/>
      <c r="AQ79" s="61"/>
      <c r="AR79" s="61"/>
      <c r="AS79" s="61"/>
      <c r="AT79" s="61"/>
      <c r="AU79" s="61"/>
      <c r="AV79" s="202"/>
      <c r="AW79" s="202"/>
    </row>
    <row r="80" spans="1:49" s="27" customFormat="1" ht="30.75" customHeight="1" x14ac:dyDescent="0.25">
      <c r="A80" s="135"/>
      <c r="B80" s="146">
        <v>5</v>
      </c>
      <c r="C80" s="74"/>
      <c r="D80" s="74"/>
      <c r="E80" s="78" t="str">
        <f>IF(C80=0," ",IF(C80=0,0,501-D80))</f>
        <v xml:space="preserve"> </v>
      </c>
      <c r="F80" s="74"/>
      <c r="G80" s="74"/>
      <c r="H80" s="136"/>
      <c r="I80" s="143"/>
      <c r="J80" s="76"/>
      <c r="K80" s="146">
        <v>5</v>
      </c>
      <c r="L80" s="74"/>
      <c r="M80" s="79"/>
      <c r="N80" s="78" t="str">
        <f>IF(L80=0," ",IF(L80=0,0,501-M80))</f>
        <v xml:space="preserve"> </v>
      </c>
      <c r="O80" s="74"/>
      <c r="P80" s="352"/>
      <c r="Q80" s="417"/>
      <c r="R80" s="365"/>
      <c r="S80" s="35"/>
      <c r="U80" s="61"/>
      <c r="V80" s="200" t="str">
        <f>IF(AND(E80=501,N80=501),"TARKISTA JÄI-SARAKE"," ")</f>
        <v xml:space="preserve"> </v>
      </c>
      <c r="W80" s="198"/>
      <c r="X80" s="65"/>
      <c r="Y80" s="61"/>
      <c r="Z80" s="61"/>
      <c r="AA80" s="61"/>
      <c r="AB80" s="201" t="str">
        <f>IF(AND(C80=0,L80&gt;0),"toinen TIKAT-sarake tyhjä !",IF(AND(C80&gt;0,L80=0),"toinen TIKAT-sarake tyhjä !",""))</f>
        <v/>
      </c>
      <c r="AC80" s="61"/>
      <c r="AH80" s="61"/>
      <c r="AI80" s="61"/>
      <c r="AJ80" s="61"/>
      <c r="AK80" s="61"/>
      <c r="AL80" s="61"/>
      <c r="AM80" s="269"/>
      <c r="AN80" s="61"/>
      <c r="AO80" s="65"/>
      <c r="AP80" s="269"/>
      <c r="AQ80" s="61"/>
      <c r="AR80" s="61"/>
      <c r="AS80" s="61"/>
      <c r="AT80" s="61"/>
      <c r="AU80" s="61"/>
      <c r="AV80" s="202"/>
      <c r="AW80" s="202"/>
    </row>
    <row r="81" spans="1:49" s="27" customFormat="1" ht="19.5" customHeight="1" thickBot="1" x14ac:dyDescent="0.3">
      <c r="A81" s="372"/>
      <c r="B81" s="369" t="s">
        <v>19</v>
      </c>
      <c r="C81" s="373">
        <f>COUNTIF(C76:C80,"&gt;0")</f>
        <v>4</v>
      </c>
      <c r="D81" s="373">
        <f>COUNTIF(D76:D80,"&gt;0")</f>
        <v>3</v>
      </c>
      <c r="E81" s="139"/>
      <c r="F81" s="139"/>
      <c r="G81" s="139"/>
      <c r="H81" s="152"/>
      <c r="I81" s="150"/>
      <c r="J81" s="151"/>
      <c r="K81" s="151"/>
      <c r="L81" s="154">
        <f>COUNTIF(L76:L80,"&gt;0")</f>
        <v>4</v>
      </c>
      <c r="M81" s="154">
        <f>COUNTIF(M76:M80,"&gt;0")</f>
        <v>1</v>
      </c>
      <c r="N81" s="139"/>
      <c r="O81" s="139"/>
      <c r="P81" s="139"/>
      <c r="Q81" s="418"/>
      <c r="R81" s="189"/>
      <c r="S81" s="35"/>
      <c r="U81" s="61"/>
      <c r="V81" s="202"/>
      <c r="W81" s="61"/>
      <c r="X81" s="61"/>
      <c r="Y81" s="61"/>
      <c r="Z81" s="61"/>
      <c r="AA81" s="61"/>
      <c r="AB81" s="202"/>
      <c r="AC81" s="61"/>
      <c r="AH81" s="61"/>
      <c r="AI81" s="61"/>
      <c r="AJ81" s="61"/>
      <c r="AK81" s="61"/>
      <c r="AL81" s="61"/>
      <c r="AM81" s="269"/>
      <c r="AN81" s="61"/>
      <c r="AO81" s="65"/>
      <c r="AP81" s="269"/>
      <c r="AQ81" s="61"/>
      <c r="AR81" s="61"/>
      <c r="AS81" s="61"/>
      <c r="AT81" s="61"/>
      <c r="AU81" s="61"/>
      <c r="AV81" s="202"/>
      <c r="AW81" s="202"/>
    </row>
    <row r="82" spans="1:49" s="61" customFormat="1" ht="36.75" customHeight="1" thickBot="1" x14ac:dyDescent="0.3">
      <c r="A82" s="66"/>
      <c r="B82" s="63"/>
      <c r="C82" s="63"/>
      <c r="D82" s="63"/>
      <c r="H82" s="27"/>
      <c r="I82" s="68"/>
      <c r="J82" s="68"/>
      <c r="K82" s="68"/>
      <c r="L82" s="68"/>
      <c r="M82" s="68"/>
      <c r="Q82" s="63"/>
      <c r="R82" s="63"/>
      <c r="T82" s="27"/>
      <c r="V82" s="202"/>
      <c r="AB82" s="202"/>
      <c r="AD82" s="27"/>
      <c r="AE82" s="27"/>
      <c r="AF82" s="27"/>
      <c r="AM82" s="269"/>
      <c r="AO82" s="65"/>
      <c r="AP82" s="269"/>
      <c r="AV82" s="202"/>
      <c r="AW82" s="202"/>
    </row>
    <row r="83" spans="1:49" s="27" customFormat="1" ht="29.25" customHeight="1" x14ac:dyDescent="0.25">
      <c r="A83" s="131"/>
      <c r="B83" s="132" t="s">
        <v>0</v>
      </c>
      <c r="C83" s="489" t="str">
        <f>C22</f>
        <v>Lokkinen Marko</v>
      </c>
      <c r="D83" s="489"/>
      <c r="E83" s="489"/>
      <c r="F83" s="489"/>
      <c r="G83" s="489"/>
      <c r="H83" s="159">
        <f>IF(OR(H84="L",C83=0),0,1)</f>
        <v>1</v>
      </c>
      <c r="I83" s="142"/>
      <c r="J83" s="133"/>
      <c r="K83" s="134" t="s">
        <v>0</v>
      </c>
      <c r="L83" s="308" t="str">
        <f>J22</f>
        <v>Holmström Bjarne</v>
      </c>
      <c r="M83" s="308"/>
      <c r="N83" s="308"/>
      <c r="O83" s="308"/>
      <c r="P83" s="308"/>
      <c r="Q83" s="419"/>
      <c r="R83" s="420"/>
      <c r="S83" s="60">
        <f>IF(OR(I84="L",L83=0),0,1)</f>
        <v>1</v>
      </c>
      <c r="U83" s="61"/>
      <c r="V83" s="202"/>
      <c r="W83" s="61"/>
      <c r="X83" s="61"/>
      <c r="Y83" s="61"/>
      <c r="Z83" s="61"/>
      <c r="AA83" s="61"/>
      <c r="AB83" s="202"/>
      <c r="AC83" s="61"/>
      <c r="AH83" s="61"/>
      <c r="AI83" s="61"/>
      <c r="AJ83" s="61"/>
      <c r="AK83" s="61"/>
      <c r="AL83" s="61"/>
      <c r="AM83" s="269"/>
      <c r="AN83" s="61"/>
      <c r="AO83" s="65"/>
      <c r="AP83" s="269"/>
      <c r="AQ83" s="61"/>
      <c r="AR83" s="61"/>
      <c r="AS83" s="61"/>
      <c r="AT83" s="61"/>
      <c r="AU83" s="61"/>
      <c r="AV83" s="202"/>
      <c r="AW83" s="202"/>
    </row>
    <row r="84" spans="1:49" s="27" customFormat="1" x14ac:dyDescent="0.25">
      <c r="A84" s="135"/>
      <c r="B84" s="35"/>
      <c r="C84" s="35"/>
      <c r="D84" s="35"/>
      <c r="E84" s="35"/>
      <c r="F84" s="35"/>
      <c r="G84" s="35"/>
      <c r="H84" s="170"/>
      <c r="I84" s="510"/>
      <c r="J84" s="511"/>
      <c r="K84" s="76"/>
      <c r="L84" s="76"/>
      <c r="M84" s="76"/>
      <c r="N84" s="35"/>
      <c r="O84" s="35"/>
      <c r="P84" s="35"/>
      <c r="Q84" s="367"/>
      <c r="R84" s="189"/>
      <c r="S84" s="35"/>
      <c r="U84" s="61"/>
      <c r="V84" s="202"/>
      <c r="W84" s="61"/>
      <c r="X84" s="61"/>
      <c r="Y84" s="61"/>
      <c r="Z84" s="61"/>
      <c r="AA84" s="61"/>
      <c r="AB84" s="202"/>
      <c r="AC84" s="61"/>
      <c r="AH84" s="61"/>
      <c r="AI84" s="61"/>
      <c r="AJ84" s="61"/>
      <c r="AK84" s="61"/>
      <c r="AL84" s="61"/>
      <c r="AM84" s="269"/>
      <c r="AN84" s="61"/>
      <c r="AO84" s="65"/>
      <c r="AP84" s="269"/>
      <c r="AQ84" s="61"/>
      <c r="AR84" s="61"/>
      <c r="AS84" s="61"/>
      <c r="AT84" s="61"/>
      <c r="AU84" s="61"/>
      <c r="AV84" s="202"/>
      <c r="AW84" s="202"/>
    </row>
    <row r="85" spans="1:49" s="27" customFormat="1" x14ac:dyDescent="0.25">
      <c r="A85" s="135"/>
      <c r="B85" s="147" t="s">
        <v>1</v>
      </c>
      <c r="C85" s="72" t="s">
        <v>13</v>
      </c>
      <c r="D85" s="72" t="s">
        <v>14</v>
      </c>
      <c r="E85" s="130" t="s">
        <v>5</v>
      </c>
      <c r="F85" s="72" t="s">
        <v>15</v>
      </c>
      <c r="G85" s="72" t="s">
        <v>16</v>
      </c>
      <c r="H85" s="157"/>
      <c r="I85" s="144"/>
      <c r="J85" s="73"/>
      <c r="K85" s="147" t="s">
        <v>1</v>
      </c>
      <c r="L85" s="72" t="s">
        <v>13</v>
      </c>
      <c r="M85" s="72" t="s">
        <v>14</v>
      </c>
      <c r="N85" s="130" t="s">
        <v>5</v>
      </c>
      <c r="O85" s="318" t="s">
        <v>15</v>
      </c>
      <c r="P85" s="72" t="s">
        <v>16</v>
      </c>
      <c r="Q85" s="416"/>
      <c r="R85" s="360"/>
      <c r="S85" s="35"/>
      <c r="U85" s="61"/>
      <c r="V85" s="202"/>
      <c r="W85" s="61"/>
      <c r="X85" s="61"/>
      <c r="Y85" s="61"/>
      <c r="Z85" s="61"/>
      <c r="AA85" s="61"/>
      <c r="AB85" s="202"/>
      <c r="AC85" s="61"/>
      <c r="AH85" s="61"/>
      <c r="AI85" s="61"/>
      <c r="AJ85" s="61"/>
      <c r="AK85" s="61"/>
      <c r="AL85" s="61"/>
      <c r="AM85" s="269"/>
      <c r="AN85" s="61"/>
      <c r="AO85" s="65"/>
      <c r="AP85" s="269"/>
      <c r="AQ85" s="61"/>
      <c r="AR85" s="61"/>
      <c r="AS85" s="61"/>
      <c r="AT85" s="61"/>
      <c r="AU85" s="61"/>
      <c r="AV85" s="202"/>
      <c r="AW85" s="202"/>
    </row>
    <row r="86" spans="1:49" s="27" customFormat="1" ht="30" customHeight="1" x14ac:dyDescent="0.25">
      <c r="A86" s="135"/>
      <c r="B86" s="146">
        <v>1</v>
      </c>
      <c r="C86" s="74">
        <v>30</v>
      </c>
      <c r="D86" s="79">
        <v>24</v>
      </c>
      <c r="E86" s="78">
        <f>IF(C86=0," ",IF(C86=0,0,501-D86))</f>
        <v>477</v>
      </c>
      <c r="F86" s="74">
        <v>1</v>
      </c>
      <c r="G86" s="74"/>
      <c r="H86" s="158">
        <f>IF(AND(H83=1,S83=0),1,IF(COUNT(C86:C90)&gt;2,IF(COUNT(D86:D90)=3,0,1),0))</f>
        <v>0</v>
      </c>
      <c r="I86" s="143"/>
      <c r="J86" s="76"/>
      <c r="K86" s="146">
        <v>1</v>
      </c>
      <c r="L86" s="74">
        <v>32</v>
      </c>
      <c r="M86" s="79"/>
      <c r="N86" s="78">
        <f>IF(L86=0," ",IF(L86=0,0,501-M86))</f>
        <v>501</v>
      </c>
      <c r="O86" s="74"/>
      <c r="P86" s="352"/>
      <c r="Q86" s="417"/>
      <c r="R86" s="365"/>
      <c r="S86" s="35"/>
      <c r="U86" s="75">
        <f>IF(AND(S83=1,H83=0),1,IF(COUNT(L86:L90)&gt;2,IF(COUNT(M86:M90)=3,0,1),0))</f>
        <v>1</v>
      </c>
      <c r="V86" s="200" t="str">
        <f>IF(AND(E86=501,N86=501),"TARKISTA JÄI-SARAKE"," ")</f>
        <v xml:space="preserve"> </v>
      </c>
      <c r="W86" s="61"/>
      <c r="X86" s="61"/>
      <c r="Y86" s="61"/>
      <c r="Z86" s="61"/>
      <c r="AA86" s="61"/>
      <c r="AB86" s="201" t="str">
        <f>IF(AND(C86=0,L86&gt;0),"toinen TIKAT-sarake tyhjä !",IF(AND(C86&gt;0,L86=0),"toinen TIKAT-sarake tyhjä !",""))</f>
        <v/>
      </c>
      <c r="AC86" s="61"/>
      <c r="AH86" s="61"/>
      <c r="AI86" s="61"/>
      <c r="AJ86" s="61"/>
      <c r="AK86" s="61"/>
      <c r="AL86" s="61"/>
      <c r="AM86" s="269"/>
      <c r="AN86" s="61"/>
      <c r="AO86" s="65"/>
      <c r="AP86" s="269"/>
      <c r="AQ86" s="61"/>
      <c r="AR86" s="61"/>
      <c r="AS86" s="61"/>
      <c r="AT86" s="61"/>
      <c r="AU86" s="61"/>
      <c r="AV86" s="202"/>
      <c r="AW86" s="202"/>
    </row>
    <row r="87" spans="1:49" s="27" customFormat="1" ht="30" customHeight="1" x14ac:dyDescent="0.25">
      <c r="A87" s="566" t="s">
        <v>20</v>
      </c>
      <c r="B87" s="146">
        <v>2</v>
      </c>
      <c r="C87" s="74">
        <v>36</v>
      </c>
      <c r="D87" s="79">
        <v>20</v>
      </c>
      <c r="E87" s="78">
        <f>IF(C87=0," ",IF(C87=0,0,501-D87))</f>
        <v>481</v>
      </c>
      <c r="F87" s="74"/>
      <c r="G87" s="74"/>
      <c r="H87" s="156"/>
      <c r="I87" s="143"/>
      <c r="J87" s="76"/>
      <c r="K87" s="146">
        <v>2</v>
      </c>
      <c r="L87" s="74">
        <v>34</v>
      </c>
      <c r="M87" s="79"/>
      <c r="N87" s="78">
        <f>IF(L87=0," ",IF(L87=0,0,501-M87))</f>
        <v>501</v>
      </c>
      <c r="O87" s="74"/>
      <c r="P87" s="352"/>
      <c r="Q87" s="417"/>
      <c r="R87" s="365"/>
      <c r="S87" s="35"/>
      <c r="U87" s="61"/>
      <c r="V87" s="200" t="str">
        <f>IF(AND(E87=501,N87=501),"TARKISTA JÄI-SARAKE"," ")</f>
        <v xml:space="preserve"> </v>
      </c>
      <c r="W87" s="198"/>
      <c r="X87" s="65"/>
      <c r="Y87" s="61"/>
      <c r="Z87" s="61"/>
      <c r="AA87" s="61"/>
      <c r="AB87" s="201" t="str">
        <f>IF(AND(C87=0,L87&gt;0),"toinen TIKAT-sarake tyhjä !",IF(AND(C87&gt;0,L87=0),"toinen TIKAT-sarake tyhjä !",""))</f>
        <v/>
      </c>
      <c r="AC87" s="61"/>
      <c r="AH87" s="61"/>
      <c r="AI87" s="61"/>
      <c r="AJ87" s="61"/>
      <c r="AK87" s="61"/>
      <c r="AL87" s="61"/>
      <c r="AM87" s="269"/>
      <c r="AN87" s="61"/>
      <c r="AO87" s="65"/>
      <c r="AP87" s="269"/>
      <c r="AQ87" s="61"/>
      <c r="AR87" s="61"/>
      <c r="AS87" s="61"/>
      <c r="AT87" s="61"/>
      <c r="AU87" s="61"/>
      <c r="AV87" s="202"/>
      <c r="AW87" s="202"/>
    </row>
    <row r="88" spans="1:49" s="27" customFormat="1" ht="30" customHeight="1" x14ac:dyDescent="0.25">
      <c r="A88" s="567"/>
      <c r="B88" s="146">
        <v>3</v>
      </c>
      <c r="C88" s="74">
        <v>32</v>
      </c>
      <c r="D88" s="79"/>
      <c r="E88" s="78">
        <f>IF(C88=0," ",IF(C88=0,0,501-D88))</f>
        <v>501</v>
      </c>
      <c r="F88" s="74"/>
      <c r="G88" s="74"/>
      <c r="H88" s="136"/>
      <c r="I88" s="143"/>
      <c r="J88" s="76"/>
      <c r="K88" s="146">
        <v>3</v>
      </c>
      <c r="L88" s="74">
        <v>33</v>
      </c>
      <c r="M88" s="79">
        <v>106</v>
      </c>
      <c r="N88" s="78">
        <f>IF(L88=0," ",IF(L88=0,0,501-M88))</f>
        <v>395</v>
      </c>
      <c r="O88" s="74"/>
      <c r="P88" s="352"/>
      <c r="Q88" s="417"/>
      <c r="R88" s="365"/>
      <c r="S88" s="35"/>
      <c r="U88" s="61"/>
      <c r="V88" s="200" t="str">
        <f>IF(AND(E88=501,N88=501),"TARKISTA JÄI-SARAKE"," ")</f>
        <v xml:space="preserve"> </v>
      </c>
      <c r="W88" s="198"/>
      <c r="X88" s="65"/>
      <c r="Y88" s="61"/>
      <c r="Z88" s="61"/>
      <c r="AA88" s="61"/>
      <c r="AB88" s="201" t="str">
        <f>IF(AND(C88=0,L88&gt;0),"toinen TIKAT-sarake tyhjä !",IF(AND(C88&gt;0,L88=0),"toinen TIKAT-sarake tyhjä !",""))</f>
        <v/>
      </c>
      <c r="AC88" s="61"/>
      <c r="AH88" s="61"/>
      <c r="AI88" s="61"/>
      <c r="AJ88" s="61"/>
      <c r="AK88" s="61"/>
      <c r="AL88" s="61"/>
      <c r="AM88" s="269"/>
      <c r="AN88" s="61"/>
      <c r="AO88" s="65"/>
      <c r="AP88" s="269"/>
      <c r="AQ88" s="61"/>
      <c r="AR88" s="61"/>
      <c r="AS88" s="61"/>
      <c r="AT88" s="61"/>
      <c r="AU88" s="61"/>
      <c r="AV88" s="202"/>
      <c r="AW88" s="202"/>
    </row>
    <row r="89" spans="1:49" s="27" customFormat="1" ht="30" customHeight="1" x14ac:dyDescent="0.25">
      <c r="A89" s="567"/>
      <c r="B89" s="146">
        <v>4</v>
      </c>
      <c r="C89" s="74">
        <v>31</v>
      </c>
      <c r="D89" s="74"/>
      <c r="E89" s="78">
        <f>IF(C89=0," ",IF(C89=0,0,501-D89))</f>
        <v>501</v>
      </c>
      <c r="F89" s="74">
        <v>1</v>
      </c>
      <c r="G89" s="74"/>
      <c r="H89" s="136"/>
      <c r="I89" s="143"/>
      <c r="J89" s="76"/>
      <c r="K89" s="146">
        <v>4</v>
      </c>
      <c r="L89" s="74">
        <v>30</v>
      </c>
      <c r="M89" s="79">
        <v>26</v>
      </c>
      <c r="N89" s="78">
        <f>IF(L89=0," ",IF(L89=0,0,501-M89))</f>
        <v>475</v>
      </c>
      <c r="O89" s="74">
        <v>2</v>
      </c>
      <c r="P89" s="352"/>
      <c r="Q89" s="417"/>
      <c r="R89" s="365"/>
      <c r="S89" s="35"/>
      <c r="U89" s="61"/>
      <c r="V89" s="200" t="str">
        <f>IF(AND(E89=501,N89=501),"TARKISTA JÄI-SARAKE"," ")</f>
        <v xml:space="preserve"> </v>
      </c>
      <c r="W89" s="198"/>
      <c r="X89" s="65"/>
      <c r="Y89" s="61"/>
      <c r="Z89" s="61"/>
      <c r="AA89" s="61"/>
      <c r="AB89" s="201" t="str">
        <f>IF(AND(C89=0,L89&gt;0),"toinen TIKAT-sarake tyhjä !",IF(AND(C89&gt;0,L89=0),"toinen TIKAT-sarake tyhjä !",""))</f>
        <v/>
      </c>
      <c r="AC89" s="61"/>
      <c r="AH89" s="61"/>
      <c r="AI89" s="61"/>
      <c r="AJ89" s="61"/>
      <c r="AK89" s="61"/>
      <c r="AL89" s="61"/>
      <c r="AM89" s="269"/>
      <c r="AN89" s="61"/>
      <c r="AO89" s="65"/>
      <c r="AP89" s="269"/>
      <c r="AQ89" s="61"/>
      <c r="AR89" s="61"/>
      <c r="AS89" s="61"/>
      <c r="AT89" s="61"/>
      <c r="AU89" s="61"/>
      <c r="AV89" s="202"/>
      <c r="AW89" s="202"/>
    </row>
    <row r="90" spans="1:49" s="27" customFormat="1" ht="30" customHeight="1" x14ac:dyDescent="0.25">
      <c r="A90" s="135"/>
      <c r="B90" s="146">
        <v>5</v>
      </c>
      <c r="C90" s="74">
        <v>33</v>
      </c>
      <c r="D90" s="74">
        <v>2</v>
      </c>
      <c r="E90" s="78">
        <f>IF(C90=0," ",IF(C90=0,0,501-D90))</f>
        <v>499</v>
      </c>
      <c r="F90" s="74">
        <v>1</v>
      </c>
      <c r="G90" s="74"/>
      <c r="H90" s="136"/>
      <c r="I90" s="143"/>
      <c r="J90" s="76"/>
      <c r="K90" s="146">
        <v>5</v>
      </c>
      <c r="L90" s="74">
        <v>36</v>
      </c>
      <c r="M90" s="79"/>
      <c r="N90" s="78">
        <f>IF(L90=0," ",IF(L90=0,0,501-M90))</f>
        <v>501</v>
      </c>
      <c r="O90" s="74"/>
      <c r="P90" s="352"/>
      <c r="Q90" s="417"/>
      <c r="R90" s="365"/>
      <c r="S90" s="35"/>
      <c r="U90" s="61"/>
      <c r="V90" s="200" t="str">
        <f>IF(AND(E90=501,N90=501),"TARKISTA JÄI-SARAKE"," ")</f>
        <v xml:space="preserve"> </v>
      </c>
      <c r="W90" s="198"/>
      <c r="X90" s="65"/>
      <c r="Y90" s="61"/>
      <c r="Z90" s="61"/>
      <c r="AA90" s="61"/>
      <c r="AB90" s="201" t="str">
        <f>IF(AND(C90=0,L90&gt;0),"toinen TIKAT-sarake tyhjä !",IF(AND(C90&gt;0,L90=0),"toinen TIKAT-sarake tyhjä !",""))</f>
        <v/>
      </c>
      <c r="AC90" s="61"/>
      <c r="AH90" s="61"/>
      <c r="AI90" s="61"/>
      <c r="AJ90" s="61"/>
      <c r="AK90" s="61"/>
      <c r="AL90" s="61"/>
      <c r="AM90" s="269"/>
      <c r="AN90" s="61"/>
      <c r="AO90" s="65"/>
      <c r="AP90" s="269"/>
      <c r="AQ90" s="61"/>
      <c r="AR90" s="61"/>
      <c r="AS90" s="61"/>
      <c r="AT90" s="61"/>
      <c r="AU90" s="61"/>
      <c r="AV90" s="202"/>
      <c r="AW90" s="202"/>
    </row>
    <row r="91" spans="1:49" s="27" customFormat="1" ht="16.5" customHeight="1" thickBot="1" x14ac:dyDescent="0.3">
      <c r="A91" s="372"/>
      <c r="B91" s="360"/>
      <c r="C91" s="373">
        <f>COUNTIF(C86:C90,"&gt;0")</f>
        <v>5</v>
      </c>
      <c r="D91" s="373">
        <f>COUNTIF(D86:D90,"&gt;0")</f>
        <v>3</v>
      </c>
      <c r="E91" s="139"/>
      <c r="F91" s="139"/>
      <c r="G91" s="139"/>
      <c r="H91" s="152"/>
      <c r="I91" s="150"/>
      <c r="J91" s="151"/>
      <c r="K91" s="151"/>
      <c r="L91" s="154">
        <f>COUNTIF(L86:L90,"&gt;0")</f>
        <v>5</v>
      </c>
      <c r="M91" s="154">
        <f>COUNTIF(M86:M90,"&gt;0")</f>
        <v>2</v>
      </c>
      <c r="N91" s="139"/>
      <c r="O91" s="139"/>
      <c r="P91" s="139"/>
      <c r="Q91" s="418"/>
      <c r="R91" s="189"/>
      <c r="S91" s="35"/>
      <c r="T91" s="35"/>
      <c r="U91" s="60"/>
      <c r="V91" s="203"/>
      <c r="W91" s="60"/>
      <c r="X91" s="60"/>
      <c r="Y91" s="60"/>
      <c r="Z91" s="61"/>
      <c r="AA91" s="61"/>
      <c r="AB91" s="202"/>
      <c r="AC91" s="61"/>
      <c r="AH91" s="61"/>
      <c r="AI91" s="61"/>
      <c r="AJ91" s="61"/>
      <c r="AK91" s="61"/>
      <c r="AL91" s="61"/>
      <c r="AM91" s="269"/>
      <c r="AN91" s="61"/>
      <c r="AO91" s="65"/>
      <c r="AP91" s="269"/>
      <c r="AQ91" s="61"/>
      <c r="AR91" s="61"/>
      <c r="AS91" s="61"/>
      <c r="AT91" s="61"/>
      <c r="AU91" s="61"/>
      <c r="AV91" s="202"/>
      <c r="AW91" s="202"/>
    </row>
    <row r="92" spans="1:49" s="61" customFormat="1" ht="36" customHeight="1" thickBot="1" x14ac:dyDescent="0.3">
      <c r="A92" s="66"/>
      <c r="B92" s="374" t="s">
        <v>20</v>
      </c>
      <c r="C92" s="63"/>
      <c r="D92" s="63"/>
      <c r="H92" s="27"/>
      <c r="I92" s="68"/>
      <c r="J92" s="68"/>
      <c r="K92" s="68"/>
      <c r="L92" s="68"/>
      <c r="M92" s="68"/>
      <c r="Q92" s="63"/>
      <c r="R92" s="63"/>
      <c r="T92" s="35"/>
      <c r="U92" s="60"/>
      <c r="V92" s="203"/>
      <c r="W92" s="60"/>
      <c r="AB92" s="202"/>
      <c r="AD92" s="27"/>
      <c r="AE92" s="27"/>
      <c r="AF92" s="27"/>
      <c r="AM92" s="269"/>
      <c r="AO92" s="65"/>
      <c r="AP92" s="269"/>
      <c r="AV92" s="202"/>
      <c r="AW92" s="202"/>
    </row>
    <row r="93" spans="1:49" s="27" customFormat="1" ht="30" customHeight="1" x14ac:dyDescent="0.25">
      <c r="A93" s="131"/>
      <c r="B93" s="132" t="s">
        <v>0</v>
      </c>
      <c r="C93" s="489" t="str">
        <f>C23</f>
        <v>Partanen Jarkko</v>
      </c>
      <c r="D93" s="489"/>
      <c r="E93" s="489"/>
      <c r="F93" s="489"/>
      <c r="G93" s="489"/>
      <c r="H93" s="159">
        <f>IF(OR(H94="L",C93=0),0,1)</f>
        <v>1</v>
      </c>
      <c r="I93" s="142"/>
      <c r="J93" s="133"/>
      <c r="K93" s="134" t="s">
        <v>0</v>
      </c>
      <c r="L93" s="308" t="str">
        <f>J23</f>
        <v>Aho Jarno</v>
      </c>
      <c r="M93" s="308"/>
      <c r="N93" s="308"/>
      <c r="O93" s="308"/>
      <c r="P93" s="308"/>
      <c r="Q93" s="419"/>
      <c r="R93" s="420"/>
      <c r="S93" s="60">
        <f>IF(OR(I94="L",L93=0),0,1)</f>
        <v>1</v>
      </c>
      <c r="U93" s="61"/>
      <c r="V93" s="202"/>
      <c r="W93" s="61"/>
      <c r="X93" s="61"/>
      <c r="Y93" s="61"/>
      <c r="Z93" s="61"/>
      <c r="AA93" s="61"/>
      <c r="AB93" s="202"/>
      <c r="AC93" s="61"/>
      <c r="AH93" s="61"/>
      <c r="AI93" s="61"/>
      <c r="AJ93" s="61"/>
      <c r="AK93" s="61"/>
      <c r="AL93" s="61"/>
      <c r="AM93" s="269"/>
      <c r="AN93" s="61"/>
      <c r="AO93" s="65"/>
      <c r="AP93" s="269"/>
      <c r="AQ93" s="61"/>
      <c r="AR93" s="61"/>
      <c r="AS93" s="61"/>
      <c r="AT93" s="61"/>
      <c r="AU93" s="61"/>
      <c r="AV93" s="202"/>
      <c r="AW93" s="202"/>
    </row>
    <row r="94" spans="1:49" s="27" customFormat="1" x14ac:dyDescent="0.25">
      <c r="A94" s="135"/>
      <c r="B94" s="35"/>
      <c r="C94" s="35"/>
      <c r="D94" s="35"/>
      <c r="E94" s="35"/>
      <c r="F94" s="35"/>
      <c r="G94" s="35"/>
      <c r="H94" s="170"/>
      <c r="I94" s="510"/>
      <c r="J94" s="511"/>
      <c r="K94" s="76"/>
      <c r="L94" s="76"/>
      <c r="M94" s="76"/>
      <c r="N94" s="35"/>
      <c r="O94" s="35"/>
      <c r="P94" s="35"/>
      <c r="Q94" s="367"/>
      <c r="R94" s="189"/>
      <c r="S94" s="35"/>
      <c r="U94" s="61"/>
      <c r="V94" s="202"/>
      <c r="W94" s="61"/>
      <c r="X94" s="61"/>
      <c r="Y94" s="61"/>
      <c r="Z94" s="61"/>
      <c r="AA94" s="61"/>
      <c r="AB94" s="202"/>
      <c r="AC94" s="61"/>
      <c r="AH94" s="61"/>
      <c r="AI94" s="61"/>
      <c r="AJ94" s="61"/>
      <c r="AK94" s="61"/>
      <c r="AL94" s="61"/>
      <c r="AM94" s="269"/>
      <c r="AN94" s="61"/>
      <c r="AO94" s="65"/>
      <c r="AP94" s="269"/>
      <c r="AQ94" s="61"/>
      <c r="AR94" s="61"/>
      <c r="AS94" s="61"/>
      <c r="AT94" s="61"/>
      <c r="AU94" s="61"/>
      <c r="AV94" s="202"/>
      <c r="AW94" s="202"/>
    </row>
    <row r="95" spans="1:49" s="27" customFormat="1" x14ac:dyDescent="0.25">
      <c r="A95" s="135"/>
      <c r="B95" s="147" t="s">
        <v>1</v>
      </c>
      <c r="C95" s="72" t="s">
        <v>13</v>
      </c>
      <c r="D95" s="72" t="s">
        <v>14</v>
      </c>
      <c r="E95" s="130" t="s">
        <v>5</v>
      </c>
      <c r="F95" s="72" t="s">
        <v>15</v>
      </c>
      <c r="G95" s="72" t="s">
        <v>16</v>
      </c>
      <c r="H95" s="157"/>
      <c r="I95" s="144"/>
      <c r="J95" s="73"/>
      <c r="K95" s="147" t="s">
        <v>1</v>
      </c>
      <c r="L95" s="72" t="s">
        <v>13</v>
      </c>
      <c r="M95" s="72" t="s">
        <v>14</v>
      </c>
      <c r="N95" s="130" t="s">
        <v>5</v>
      </c>
      <c r="O95" s="318" t="s">
        <v>15</v>
      </c>
      <c r="P95" s="72" t="s">
        <v>16</v>
      </c>
      <c r="Q95" s="416"/>
      <c r="R95" s="360"/>
      <c r="S95" s="35"/>
      <c r="U95" s="61"/>
      <c r="V95" s="202"/>
      <c r="W95" s="61"/>
      <c r="X95" s="61"/>
      <c r="Y95" s="61"/>
      <c r="Z95" s="61"/>
      <c r="AA95" s="61"/>
      <c r="AB95" s="202"/>
      <c r="AC95" s="61"/>
      <c r="AH95" s="61"/>
      <c r="AI95" s="61"/>
      <c r="AJ95" s="61"/>
      <c r="AK95" s="61"/>
      <c r="AL95" s="61"/>
      <c r="AM95" s="269"/>
      <c r="AN95" s="61"/>
      <c r="AO95" s="65"/>
      <c r="AP95" s="269"/>
      <c r="AQ95" s="61"/>
      <c r="AR95" s="61"/>
      <c r="AS95" s="61"/>
      <c r="AT95" s="61"/>
      <c r="AU95" s="61"/>
      <c r="AV95" s="202"/>
      <c r="AW95" s="202"/>
    </row>
    <row r="96" spans="1:49" s="27" customFormat="1" ht="30.75" customHeight="1" x14ac:dyDescent="0.25">
      <c r="A96" s="135"/>
      <c r="B96" s="146">
        <v>1</v>
      </c>
      <c r="C96" s="74">
        <v>33</v>
      </c>
      <c r="D96" s="74">
        <v>53</v>
      </c>
      <c r="E96" s="78">
        <f>IF(C96=0," ",IF(C96=0,0,501-D96))</f>
        <v>448</v>
      </c>
      <c r="F96" s="74"/>
      <c r="G96" s="74"/>
      <c r="H96" s="158">
        <f>IF(AND(H93=1,S93=0),1,IF(COUNT(C96:C100)&gt;2,IF(COUNT(D96:D100)=3,0,1),0))</f>
        <v>0</v>
      </c>
      <c r="I96" s="143"/>
      <c r="J96" s="76"/>
      <c r="K96" s="146">
        <v>1</v>
      </c>
      <c r="L96" s="74">
        <v>32</v>
      </c>
      <c r="M96" s="79"/>
      <c r="N96" s="78">
        <f>IF(L96=0," ",IF(L96=0,0,501-M96))</f>
        <v>501</v>
      </c>
      <c r="O96" s="74">
        <v>1</v>
      </c>
      <c r="P96" s="352"/>
      <c r="Q96" s="417"/>
      <c r="R96" s="365"/>
      <c r="S96" s="35"/>
      <c r="U96" s="75">
        <f>IF(AND(S93=1,H93=0),1,IF(COUNT(L96:L100)&gt;2,IF(COUNT(M96:M100)=3,0,1),0))</f>
        <v>1</v>
      </c>
      <c r="V96" s="200" t="str">
        <f>IF(AND(E96=501,N96=501),"TARKISTA JÄI-SARAKE"," ")</f>
        <v xml:space="preserve"> </v>
      </c>
      <c r="W96" s="61"/>
      <c r="X96" s="61"/>
      <c r="Y96" s="61"/>
      <c r="Z96" s="61"/>
      <c r="AA96" s="61"/>
      <c r="AB96" s="201" t="str">
        <f>IF(AND(C96=0,L96&gt;0),"toinen TIKAT-sarake tyhjä !",IF(AND(C96&gt;0,L96=0),"toinen TIKAT-sarake tyhjä !",""))</f>
        <v/>
      </c>
      <c r="AC96" s="61"/>
      <c r="AH96" s="61"/>
      <c r="AI96" s="61"/>
      <c r="AJ96" s="61"/>
      <c r="AK96" s="61"/>
      <c r="AL96" s="61"/>
      <c r="AM96" s="269"/>
      <c r="AN96" s="61"/>
      <c r="AO96" s="65"/>
      <c r="AP96" s="269"/>
      <c r="AQ96" s="61"/>
      <c r="AR96" s="61"/>
      <c r="AS96" s="61"/>
      <c r="AT96" s="61"/>
      <c r="AU96" s="61"/>
      <c r="AV96" s="202"/>
      <c r="AW96" s="202"/>
    </row>
    <row r="97" spans="1:49" s="27" customFormat="1" ht="30.75" customHeight="1" x14ac:dyDescent="0.25">
      <c r="A97" s="566" t="s">
        <v>21</v>
      </c>
      <c r="B97" s="146">
        <v>2</v>
      </c>
      <c r="C97" s="74">
        <v>27</v>
      </c>
      <c r="D97" s="74">
        <v>118</v>
      </c>
      <c r="E97" s="78">
        <f>IF(C97=0," ",IF(C97=0,0,501-D97))</f>
        <v>383</v>
      </c>
      <c r="F97" s="74"/>
      <c r="G97" s="74"/>
      <c r="H97" s="156"/>
      <c r="I97" s="143"/>
      <c r="J97" s="76"/>
      <c r="K97" s="146">
        <v>2</v>
      </c>
      <c r="L97" s="74">
        <v>29</v>
      </c>
      <c r="M97" s="79"/>
      <c r="N97" s="78">
        <f>IF(L97=0," ",IF(L97=0,0,501-M97))</f>
        <v>501</v>
      </c>
      <c r="O97" s="74">
        <v>1</v>
      </c>
      <c r="P97" s="352"/>
      <c r="Q97" s="417"/>
      <c r="R97" s="365"/>
      <c r="S97" s="35"/>
      <c r="U97" s="61"/>
      <c r="V97" s="200" t="str">
        <f>IF(AND(E97=501,N97=501),"TARKISTA JÄI-SARAKE"," ")</f>
        <v xml:space="preserve"> </v>
      </c>
      <c r="W97" s="198"/>
      <c r="X97" s="65"/>
      <c r="Y97" s="61"/>
      <c r="Z97" s="61"/>
      <c r="AA97" s="61"/>
      <c r="AB97" s="201" t="str">
        <f>IF(AND(C97=0,L97&gt;0),"toinen TIKAT-sarake tyhjä !",IF(AND(C97&gt;0,L97=0),"toinen TIKAT-sarake tyhjä !",""))</f>
        <v/>
      </c>
      <c r="AC97" s="61"/>
      <c r="AH97" s="61"/>
      <c r="AI97" s="61"/>
      <c r="AJ97" s="61"/>
      <c r="AK97" s="61"/>
      <c r="AL97" s="61"/>
      <c r="AM97" s="269"/>
      <c r="AN97" s="61"/>
      <c r="AO97" s="65"/>
      <c r="AP97" s="269"/>
      <c r="AQ97" s="61"/>
      <c r="AR97" s="61"/>
      <c r="AS97" s="61"/>
      <c r="AT97" s="61"/>
      <c r="AU97" s="61"/>
      <c r="AV97" s="202"/>
      <c r="AW97" s="202"/>
    </row>
    <row r="98" spans="1:49" s="27" customFormat="1" ht="30.75" customHeight="1" x14ac:dyDescent="0.25">
      <c r="A98" s="567"/>
      <c r="B98" s="146">
        <v>3</v>
      </c>
      <c r="C98" s="74">
        <v>30</v>
      </c>
      <c r="D98" s="74">
        <v>18</v>
      </c>
      <c r="E98" s="78">
        <f>IF(C98=0," ",IF(C98=0,0,501-D98))</f>
        <v>483</v>
      </c>
      <c r="F98" s="74"/>
      <c r="G98" s="74"/>
      <c r="H98" s="136"/>
      <c r="I98" s="143"/>
      <c r="J98" s="76"/>
      <c r="K98" s="146">
        <v>3</v>
      </c>
      <c r="L98" s="74">
        <v>30</v>
      </c>
      <c r="M98" s="79"/>
      <c r="N98" s="78">
        <f>IF(L98=0," ",IF(L98=0,0,501-M98))</f>
        <v>501</v>
      </c>
      <c r="O98" s="74">
        <v>1</v>
      </c>
      <c r="P98" s="352"/>
      <c r="Q98" s="417"/>
      <c r="R98" s="365"/>
      <c r="S98" s="35"/>
      <c r="U98" s="61"/>
      <c r="V98" s="200" t="str">
        <f>IF(AND(E98=501,N98=501),"TARKISTA JÄI-SARAKE"," ")</f>
        <v xml:space="preserve"> </v>
      </c>
      <c r="W98" s="198"/>
      <c r="X98" s="65"/>
      <c r="Y98" s="61"/>
      <c r="Z98" s="61"/>
      <c r="AA98" s="61"/>
      <c r="AB98" s="201" t="str">
        <f>IF(AND(C98=0,L98&gt;0),"toinen TIKAT-sarake tyhjä !",IF(AND(C98&gt;0,L98=0),"toinen TIKAT-sarake tyhjä !",""))</f>
        <v/>
      </c>
      <c r="AC98" s="61"/>
      <c r="AH98" s="61"/>
      <c r="AI98" s="61"/>
      <c r="AJ98" s="61"/>
      <c r="AK98" s="61"/>
      <c r="AL98" s="61"/>
      <c r="AM98" s="269"/>
      <c r="AN98" s="61"/>
      <c r="AO98" s="65"/>
      <c r="AP98" s="269"/>
      <c r="AQ98" s="61"/>
      <c r="AR98" s="61"/>
      <c r="AS98" s="61"/>
      <c r="AT98" s="61"/>
      <c r="AU98" s="61"/>
      <c r="AV98" s="202"/>
      <c r="AW98" s="202"/>
    </row>
    <row r="99" spans="1:49" s="27" customFormat="1" ht="30.75" customHeight="1" x14ac:dyDescent="0.25">
      <c r="A99" s="567"/>
      <c r="B99" s="146">
        <v>4</v>
      </c>
      <c r="C99" s="74"/>
      <c r="D99" s="74"/>
      <c r="E99" s="78" t="str">
        <f>IF(C99=0," ",IF(C99=0,0,501-D99))</f>
        <v xml:space="preserve"> </v>
      </c>
      <c r="F99" s="74"/>
      <c r="G99" s="74"/>
      <c r="H99" s="136"/>
      <c r="I99" s="143"/>
      <c r="J99" s="76"/>
      <c r="K99" s="146">
        <v>4</v>
      </c>
      <c r="L99" s="74"/>
      <c r="M99" s="79"/>
      <c r="N99" s="78" t="str">
        <f>IF(L99=0," ",IF(L99=0,0,501-M99))</f>
        <v xml:space="preserve"> </v>
      </c>
      <c r="O99" s="74"/>
      <c r="P99" s="352"/>
      <c r="Q99" s="417"/>
      <c r="R99" s="365"/>
      <c r="S99" s="35"/>
      <c r="U99" s="61"/>
      <c r="V99" s="200" t="str">
        <f>IF(AND(E99=501,N99=501),"TARKISTA JÄI-SARAKE"," ")</f>
        <v xml:space="preserve"> </v>
      </c>
      <c r="W99" s="198"/>
      <c r="X99" s="65"/>
      <c r="Y99" s="61"/>
      <c r="Z99" s="61"/>
      <c r="AA99" s="61"/>
      <c r="AB99" s="201" t="str">
        <f>IF(AND(C99=0,L99&gt;0),"toinen TIKAT-sarake tyhjä !",IF(AND(C99&gt;0,L99=0),"toinen TIKAT-sarake tyhjä !",""))</f>
        <v/>
      </c>
      <c r="AC99" s="61"/>
      <c r="AH99" s="61"/>
      <c r="AI99" s="61"/>
      <c r="AJ99" s="61"/>
      <c r="AK99" s="61"/>
      <c r="AL99" s="61"/>
      <c r="AM99" s="269"/>
      <c r="AN99" s="61"/>
      <c r="AO99" s="65"/>
      <c r="AP99" s="269"/>
      <c r="AQ99" s="61"/>
      <c r="AR99" s="61"/>
      <c r="AS99" s="61"/>
      <c r="AT99" s="61"/>
      <c r="AU99" s="61"/>
      <c r="AV99" s="202"/>
      <c r="AW99" s="202"/>
    </row>
    <row r="100" spans="1:49" s="27" customFormat="1" ht="30.75" customHeight="1" x14ac:dyDescent="0.25">
      <c r="A100" s="135"/>
      <c r="B100" s="146">
        <v>5</v>
      </c>
      <c r="C100" s="74"/>
      <c r="D100" s="74"/>
      <c r="E100" s="78" t="str">
        <f>IF(C100=0," ",IF(C100=0,0,501-D100))</f>
        <v xml:space="preserve"> </v>
      </c>
      <c r="F100" s="74"/>
      <c r="G100" s="74"/>
      <c r="H100" s="136"/>
      <c r="I100" s="143"/>
      <c r="J100" s="76"/>
      <c r="K100" s="146">
        <v>5</v>
      </c>
      <c r="L100" s="74"/>
      <c r="M100" s="79"/>
      <c r="N100" s="78" t="str">
        <f>IF(L100=0," ",IF(L100=0,0,501-M100))</f>
        <v xml:space="preserve"> </v>
      </c>
      <c r="O100" s="74"/>
      <c r="P100" s="352"/>
      <c r="Q100" s="417"/>
      <c r="R100" s="365"/>
      <c r="S100" s="35"/>
      <c r="U100" s="61"/>
      <c r="V100" s="200" t="str">
        <f>IF(AND(E100=501,N100=501),"TARKISTA JÄI-SARAKE"," ")</f>
        <v xml:space="preserve"> </v>
      </c>
      <c r="W100" s="198"/>
      <c r="X100" s="65"/>
      <c r="Y100" s="61"/>
      <c r="Z100" s="61"/>
      <c r="AA100" s="61"/>
      <c r="AB100" s="201" t="str">
        <f>IF(AND(C100=0,L100&gt;0),"toinen TIKAT-sarake tyhjä !",IF(AND(C100&gt;0,L100=0),"toinen TIKAT-sarake tyhjä !",""))</f>
        <v/>
      </c>
      <c r="AC100" s="61"/>
      <c r="AH100" s="61"/>
      <c r="AI100" s="61"/>
      <c r="AJ100" s="61"/>
      <c r="AK100" s="61"/>
      <c r="AL100" s="61"/>
      <c r="AM100" s="269"/>
      <c r="AN100" s="61"/>
      <c r="AO100" s="65"/>
      <c r="AP100" s="269"/>
      <c r="AQ100" s="61"/>
      <c r="AR100" s="61"/>
      <c r="AS100" s="61"/>
      <c r="AT100" s="61"/>
      <c r="AU100" s="61"/>
      <c r="AV100" s="202"/>
      <c r="AW100" s="202"/>
    </row>
    <row r="101" spans="1:49" s="27" customFormat="1" ht="15" customHeight="1" thickBot="1" x14ac:dyDescent="0.3">
      <c r="A101" s="372"/>
      <c r="B101" s="375"/>
      <c r="C101" s="373">
        <f>COUNTIF(C96:C100,"&gt;0")</f>
        <v>3</v>
      </c>
      <c r="D101" s="154">
        <f>COUNTIF(D96:D100,"&gt;0")</f>
        <v>3</v>
      </c>
      <c r="E101" s="149"/>
      <c r="F101" s="149"/>
      <c r="G101" s="149"/>
      <c r="H101" s="152"/>
      <c r="I101" s="150"/>
      <c r="J101" s="151"/>
      <c r="K101" s="139"/>
      <c r="L101" s="154">
        <f>COUNTIF(L96:L100,"&gt;0")</f>
        <v>3</v>
      </c>
      <c r="M101" s="154">
        <f>COUNTIF(M96:M100,"&gt;0")</f>
        <v>0</v>
      </c>
      <c r="N101" s="154"/>
      <c r="O101" s="139"/>
      <c r="P101" s="139"/>
      <c r="Q101" s="418"/>
      <c r="R101" s="365"/>
      <c r="S101" s="35"/>
      <c r="U101" s="61"/>
      <c r="V101" s="202"/>
      <c r="W101" s="61"/>
      <c r="X101" s="61"/>
      <c r="Y101" s="61"/>
      <c r="Z101" s="61"/>
      <c r="AA101" s="61"/>
      <c r="AB101" s="202"/>
      <c r="AC101" s="61"/>
      <c r="AH101" s="61"/>
      <c r="AI101" s="61"/>
      <c r="AJ101" s="61"/>
      <c r="AK101" s="61"/>
      <c r="AL101" s="61"/>
      <c r="AM101" s="269"/>
      <c r="AN101" s="61"/>
      <c r="AO101" s="65"/>
      <c r="AP101" s="269"/>
      <c r="AQ101" s="61"/>
      <c r="AR101" s="61"/>
      <c r="AS101" s="61"/>
      <c r="AT101" s="61"/>
      <c r="AU101" s="61"/>
      <c r="AV101" s="202"/>
      <c r="AW101" s="202"/>
    </row>
    <row r="102" spans="1:49" s="61" customFormat="1" ht="36.75" customHeight="1" thickBot="1" x14ac:dyDescent="0.3">
      <c r="A102" s="66"/>
      <c r="B102" s="374" t="s">
        <v>21</v>
      </c>
      <c r="C102" s="63"/>
      <c r="H102" s="27"/>
      <c r="I102" s="68"/>
      <c r="J102" s="68"/>
      <c r="K102" s="68"/>
      <c r="L102" s="68"/>
      <c r="M102" s="68"/>
      <c r="Q102" s="63"/>
      <c r="R102" s="63"/>
      <c r="T102" s="27"/>
      <c r="V102" s="202"/>
      <c r="AB102" s="202"/>
      <c r="AD102" s="27"/>
      <c r="AE102" s="27"/>
      <c r="AF102" s="27"/>
      <c r="AM102" s="269"/>
      <c r="AO102" s="65"/>
      <c r="AP102" s="269"/>
      <c r="AV102" s="202"/>
      <c r="AW102" s="202"/>
    </row>
    <row r="103" spans="1:49" s="27" customFormat="1" ht="27.75" customHeight="1" x14ac:dyDescent="0.25">
      <c r="A103" s="131"/>
      <c r="B103" s="132" t="s">
        <v>0</v>
      </c>
      <c r="C103" s="489" t="str">
        <f>C24</f>
        <v>Nevalainen Ari</v>
      </c>
      <c r="D103" s="489"/>
      <c r="E103" s="489"/>
      <c r="F103" s="489"/>
      <c r="G103" s="489"/>
      <c r="H103" s="159">
        <f>IF(OR(H104="L",C103=0),0,1)</f>
        <v>1</v>
      </c>
      <c r="I103" s="142"/>
      <c r="J103" s="133"/>
      <c r="K103" s="134" t="s">
        <v>0</v>
      </c>
      <c r="L103" s="308" t="str">
        <f>J24</f>
        <v>Nyholm Mikael</v>
      </c>
      <c r="M103" s="308"/>
      <c r="N103" s="308"/>
      <c r="O103" s="308"/>
      <c r="P103" s="308"/>
      <c r="Q103" s="419"/>
      <c r="R103" s="420"/>
      <c r="S103" s="60">
        <f>IF(OR(I104="L",L103=0),0,1)</f>
        <v>1</v>
      </c>
      <c r="U103" s="61"/>
      <c r="V103" s="202"/>
      <c r="W103" s="61"/>
      <c r="X103" s="61"/>
      <c r="Y103" s="61"/>
      <c r="Z103" s="61"/>
      <c r="AA103" s="61"/>
      <c r="AB103" s="202"/>
      <c r="AC103" s="61"/>
      <c r="AH103" s="61"/>
      <c r="AI103" s="61"/>
      <c r="AJ103" s="61"/>
      <c r="AK103" s="61"/>
      <c r="AL103" s="61"/>
      <c r="AM103" s="269"/>
      <c r="AN103" s="61"/>
      <c r="AO103" s="65"/>
      <c r="AP103" s="269"/>
      <c r="AQ103" s="61"/>
      <c r="AR103" s="61"/>
      <c r="AS103" s="61"/>
      <c r="AT103" s="61"/>
      <c r="AU103" s="61"/>
      <c r="AV103" s="202"/>
      <c r="AW103" s="202"/>
    </row>
    <row r="104" spans="1:49" s="27" customFormat="1" x14ac:dyDescent="0.25">
      <c r="A104" s="135"/>
      <c r="B104" s="35"/>
      <c r="C104" s="35"/>
      <c r="D104" s="35"/>
      <c r="E104" s="35"/>
      <c r="F104" s="35"/>
      <c r="G104" s="35"/>
      <c r="H104" s="170"/>
      <c r="I104" s="510"/>
      <c r="J104" s="511"/>
      <c r="K104" s="76"/>
      <c r="L104" s="76"/>
      <c r="M104" s="76"/>
      <c r="N104" s="35"/>
      <c r="O104" s="35"/>
      <c r="P104" s="35"/>
      <c r="Q104" s="367"/>
      <c r="R104" s="189"/>
      <c r="S104" s="35"/>
      <c r="U104" s="61"/>
      <c r="V104" s="202"/>
      <c r="W104" s="61"/>
      <c r="X104" s="61"/>
      <c r="Y104" s="61"/>
      <c r="Z104" s="61"/>
      <c r="AA104" s="61"/>
      <c r="AB104" s="202"/>
      <c r="AC104" s="61"/>
      <c r="AH104" s="61"/>
      <c r="AI104" s="61"/>
      <c r="AJ104" s="61"/>
      <c r="AK104" s="61"/>
      <c r="AL104" s="61"/>
      <c r="AM104" s="269"/>
      <c r="AN104" s="61"/>
      <c r="AO104" s="65"/>
      <c r="AP104" s="269"/>
      <c r="AQ104" s="61"/>
      <c r="AR104" s="61"/>
      <c r="AS104" s="61"/>
      <c r="AT104" s="61"/>
      <c r="AU104" s="61"/>
      <c r="AV104" s="202"/>
      <c r="AW104" s="202"/>
    </row>
    <row r="105" spans="1:49" s="27" customFormat="1" x14ac:dyDescent="0.25">
      <c r="A105" s="135"/>
      <c r="B105" s="147" t="s">
        <v>1</v>
      </c>
      <c r="C105" s="72" t="s">
        <v>13</v>
      </c>
      <c r="D105" s="72" t="s">
        <v>14</v>
      </c>
      <c r="E105" s="130" t="s">
        <v>5</v>
      </c>
      <c r="F105" s="72" t="s">
        <v>15</v>
      </c>
      <c r="G105" s="72" t="s">
        <v>16</v>
      </c>
      <c r="H105" s="153"/>
      <c r="I105" s="144"/>
      <c r="J105" s="73"/>
      <c r="K105" s="147" t="s">
        <v>1</v>
      </c>
      <c r="L105" s="72" t="s">
        <v>13</v>
      </c>
      <c r="M105" s="72" t="s">
        <v>14</v>
      </c>
      <c r="N105" s="130" t="s">
        <v>5</v>
      </c>
      <c r="O105" s="318" t="s">
        <v>15</v>
      </c>
      <c r="P105" s="72" t="s">
        <v>16</v>
      </c>
      <c r="Q105" s="416"/>
      <c r="R105" s="360"/>
      <c r="S105" s="35"/>
      <c r="U105" s="61"/>
      <c r="V105" s="202"/>
      <c r="W105" s="61"/>
      <c r="X105" s="61"/>
      <c r="Y105" s="61"/>
      <c r="Z105" s="61"/>
      <c r="AA105" s="61"/>
      <c r="AB105" s="202"/>
      <c r="AC105" s="61"/>
      <c r="AH105" s="61"/>
      <c r="AI105" s="61"/>
      <c r="AJ105" s="61"/>
      <c r="AK105" s="61"/>
      <c r="AL105" s="61"/>
      <c r="AM105" s="269"/>
      <c r="AN105" s="61"/>
      <c r="AO105" s="65"/>
      <c r="AP105" s="269"/>
      <c r="AQ105" s="61"/>
      <c r="AR105" s="61"/>
      <c r="AS105" s="61"/>
      <c r="AT105" s="61"/>
      <c r="AU105" s="61"/>
      <c r="AV105" s="202"/>
      <c r="AW105" s="202"/>
    </row>
    <row r="106" spans="1:49" s="27" customFormat="1" ht="30" customHeight="1" x14ac:dyDescent="0.25">
      <c r="A106" s="135"/>
      <c r="B106" s="146">
        <v>1</v>
      </c>
      <c r="C106" s="74">
        <v>27</v>
      </c>
      <c r="D106" s="79"/>
      <c r="E106" s="78">
        <f>IF(C106=0," ",IF(C106=0,0,501-D106))</f>
        <v>501</v>
      </c>
      <c r="F106" s="74"/>
      <c r="G106" s="74"/>
      <c r="H106" s="158">
        <f>IF(AND(H103=1,S103=0),1,IF(COUNT(C106:C110)&gt;2,IF(COUNT(D106:D110)=3,0,1),0))</f>
        <v>1</v>
      </c>
      <c r="I106" s="143"/>
      <c r="J106" s="76"/>
      <c r="K106" s="146">
        <v>1</v>
      </c>
      <c r="L106" s="74">
        <v>27</v>
      </c>
      <c r="M106" s="79">
        <v>6</v>
      </c>
      <c r="N106" s="78">
        <f>IF(L106=0," ",IF(L106=0,0,501-M106))</f>
        <v>495</v>
      </c>
      <c r="O106" s="74"/>
      <c r="P106" s="352"/>
      <c r="Q106" s="417"/>
      <c r="R106" s="365"/>
      <c r="S106" s="35"/>
      <c r="U106" s="75">
        <f>IF(AND(S103=1,H103=0),1,IF(COUNT(L106:L110)&gt;2,IF(COUNT(M106:M110)=3,0,1),0))</f>
        <v>0</v>
      </c>
      <c r="V106" s="200" t="str">
        <f>IF(AND(E106=501,N106=501),"TARKISTA JÄI-SARAKE"," ")</f>
        <v xml:space="preserve"> </v>
      </c>
      <c r="W106" s="61"/>
      <c r="X106" s="61"/>
      <c r="Y106" s="61"/>
      <c r="Z106" s="61"/>
      <c r="AA106" s="61"/>
      <c r="AB106" s="201" t="str">
        <f>IF(AND(C106=0,L106&gt;0),"toinen TIKAT-sarake tyhjä !",IF(AND(C106&gt;0,L106=0),"toinen TIKAT-sarake tyhjä !",""))</f>
        <v/>
      </c>
      <c r="AC106" s="61"/>
      <c r="AH106" s="61"/>
      <c r="AI106" s="61"/>
      <c r="AJ106" s="61"/>
      <c r="AK106" s="61"/>
      <c r="AL106" s="61"/>
      <c r="AM106" s="269"/>
      <c r="AN106" s="61"/>
      <c r="AO106" s="65"/>
      <c r="AP106" s="269"/>
      <c r="AQ106" s="61"/>
      <c r="AR106" s="61"/>
      <c r="AS106" s="61"/>
      <c r="AT106" s="61"/>
      <c r="AU106" s="61"/>
      <c r="AV106" s="202"/>
      <c r="AW106" s="202"/>
    </row>
    <row r="107" spans="1:49" s="27" customFormat="1" ht="30" customHeight="1" x14ac:dyDescent="0.25">
      <c r="A107" s="566" t="s">
        <v>22</v>
      </c>
      <c r="B107" s="146">
        <v>2</v>
      </c>
      <c r="C107" s="74">
        <v>30</v>
      </c>
      <c r="D107" s="79">
        <v>16</v>
      </c>
      <c r="E107" s="78">
        <f>IF(C107=0," ",IF(C107=0,0,501-D107))</f>
        <v>485</v>
      </c>
      <c r="F107" s="74"/>
      <c r="G107" s="74"/>
      <c r="H107" s="136"/>
      <c r="I107" s="143"/>
      <c r="J107" s="76"/>
      <c r="K107" s="146">
        <v>2</v>
      </c>
      <c r="L107" s="74">
        <v>29</v>
      </c>
      <c r="M107" s="79"/>
      <c r="N107" s="78">
        <f>IF(L107=0," ",IF(L107=0,0,501-M107))</f>
        <v>501</v>
      </c>
      <c r="O107" s="74"/>
      <c r="P107" s="352"/>
      <c r="Q107" s="417"/>
      <c r="R107" s="365"/>
      <c r="S107" s="35"/>
      <c r="U107" s="61"/>
      <c r="V107" s="200" t="str">
        <f>IF(AND(E107=501,N107=501),"TARKISTA JÄI-SARAKE"," ")</f>
        <v xml:space="preserve"> </v>
      </c>
      <c r="W107" s="198"/>
      <c r="X107" s="65"/>
      <c r="Y107" s="61"/>
      <c r="Z107" s="61"/>
      <c r="AA107" s="61"/>
      <c r="AB107" s="201" t="str">
        <f>IF(AND(C107=0,L107&gt;0),"toinen TIKAT-sarake tyhjä !",IF(AND(C107&gt;0,L107=0),"toinen TIKAT-sarake tyhjä !",""))</f>
        <v/>
      </c>
      <c r="AC107" s="61"/>
      <c r="AH107" s="61"/>
      <c r="AI107" s="61"/>
      <c r="AJ107" s="61"/>
      <c r="AK107" s="61"/>
      <c r="AL107" s="61"/>
      <c r="AM107" s="269"/>
      <c r="AN107" s="61"/>
      <c r="AO107" s="65"/>
      <c r="AP107" s="269"/>
      <c r="AQ107" s="61"/>
      <c r="AR107" s="61"/>
      <c r="AS107" s="61"/>
      <c r="AT107" s="61"/>
      <c r="AU107" s="61"/>
      <c r="AV107" s="202"/>
      <c r="AW107" s="202"/>
    </row>
    <row r="108" spans="1:49" s="27" customFormat="1" ht="30" customHeight="1" x14ac:dyDescent="0.25">
      <c r="A108" s="567"/>
      <c r="B108" s="146">
        <v>3</v>
      </c>
      <c r="C108" s="74">
        <v>24</v>
      </c>
      <c r="D108" s="79">
        <v>19</v>
      </c>
      <c r="E108" s="78">
        <f>IF(C108=0," ",IF(C108=0,0,501-D108))</f>
        <v>482</v>
      </c>
      <c r="F108" s="74"/>
      <c r="G108" s="74"/>
      <c r="H108" s="136"/>
      <c r="I108" s="143"/>
      <c r="J108" s="76"/>
      <c r="K108" s="146">
        <v>3</v>
      </c>
      <c r="L108" s="74">
        <v>27</v>
      </c>
      <c r="M108" s="79"/>
      <c r="N108" s="78">
        <f>IF(L108=0," ",IF(L108=0,0,501-M108))</f>
        <v>501</v>
      </c>
      <c r="O108" s="74">
        <v>1</v>
      </c>
      <c r="P108" s="352"/>
      <c r="Q108" s="417"/>
      <c r="R108" s="365"/>
      <c r="S108" s="35"/>
      <c r="U108" s="61"/>
      <c r="V108" s="200" t="str">
        <f>IF(AND(E108=501,N108=501),"TARKISTA JÄI-SARAKE"," ")</f>
        <v xml:space="preserve"> </v>
      </c>
      <c r="W108" s="198"/>
      <c r="X108" s="65"/>
      <c r="Y108" s="61"/>
      <c r="Z108" s="61"/>
      <c r="AA108" s="61"/>
      <c r="AB108" s="201" t="str">
        <f>IF(AND(C108=0,L108&gt;0),"toinen TIKAT-sarake tyhjä !",IF(AND(C108&gt;0,L108=0),"toinen TIKAT-sarake tyhjä !",""))</f>
        <v/>
      </c>
      <c r="AC108" s="61"/>
      <c r="AH108" s="61"/>
      <c r="AI108" s="61"/>
      <c r="AJ108" s="61"/>
      <c r="AK108" s="61"/>
      <c r="AL108" s="61"/>
      <c r="AM108" s="269"/>
      <c r="AN108" s="61"/>
      <c r="AO108" s="65"/>
      <c r="AP108" s="269"/>
      <c r="AQ108" s="61"/>
      <c r="AR108" s="61"/>
      <c r="AS108" s="61"/>
      <c r="AT108" s="61"/>
      <c r="AU108" s="61"/>
      <c r="AV108" s="202"/>
      <c r="AW108" s="202"/>
    </row>
    <row r="109" spans="1:49" s="27" customFormat="1" ht="30" customHeight="1" x14ac:dyDescent="0.25">
      <c r="A109" s="567"/>
      <c r="B109" s="146">
        <v>4</v>
      </c>
      <c r="C109" s="74">
        <v>29</v>
      </c>
      <c r="D109" s="74"/>
      <c r="E109" s="78">
        <f>IF(C109=0," ",IF(C109=0,0,501-D109))</f>
        <v>501</v>
      </c>
      <c r="F109" s="74">
        <v>2</v>
      </c>
      <c r="G109" s="74"/>
      <c r="H109" s="136"/>
      <c r="I109" s="143"/>
      <c r="J109" s="76"/>
      <c r="K109" s="146">
        <v>4</v>
      </c>
      <c r="L109" s="74">
        <v>27</v>
      </c>
      <c r="M109" s="79">
        <v>20</v>
      </c>
      <c r="N109" s="78">
        <f>IF(L109=0," ",IF(L109=0,0,501-M109))</f>
        <v>481</v>
      </c>
      <c r="O109" s="74"/>
      <c r="P109" s="352"/>
      <c r="Q109" s="417"/>
      <c r="R109" s="365"/>
      <c r="S109" s="35"/>
      <c r="U109" s="61"/>
      <c r="V109" s="200" t="str">
        <f>IF(AND(E109=501,N109=501),"TARKISTA JÄI-SARAKE"," ")</f>
        <v xml:space="preserve"> </v>
      </c>
      <c r="W109" s="198"/>
      <c r="X109" s="65"/>
      <c r="Y109" s="61"/>
      <c r="Z109" s="61"/>
      <c r="AA109" s="61"/>
      <c r="AB109" s="201" t="str">
        <f>IF(AND(C109=0,L109&gt;0),"toinen TIKAT-sarake tyhjä !",IF(AND(C109&gt;0,L109=0),"toinen TIKAT-sarake tyhjä !",""))</f>
        <v/>
      </c>
      <c r="AC109" s="61"/>
      <c r="AH109" s="61"/>
      <c r="AI109" s="61"/>
      <c r="AJ109" s="61"/>
      <c r="AK109" s="61"/>
      <c r="AL109" s="61"/>
      <c r="AM109" s="269"/>
      <c r="AN109" s="61"/>
      <c r="AO109" s="65"/>
      <c r="AP109" s="269"/>
      <c r="AQ109" s="61"/>
      <c r="AR109" s="61"/>
      <c r="AS109" s="61"/>
      <c r="AT109" s="61"/>
      <c r="AU109" s="61"/>
      <c r="AV109" s="202"/>
      <c r="AW109" s="202"/>
    </row>
    <row r="110" spans="1:49" s="27" customFormat="1" ht="30" customHeight="1" x14ac:dyDescent="0.25">
      <c r="A110" s="135"/>
      <c r="B110" s="146">
        <v>5</v>
      </c>
      <c r="C110" s="74">
        <v>29</v>
      </c>
      <c r="D110" s="74"/>
      <c r="E110" s="78">
        <f>IF(C110=0," ",IF(C110=0,0,501-D110))</f>
        <v>501</v>
      </c>
      <c r="F110" s="74">
        <v>1</v>
      </c>
      <c r="G110" s="74"/>
      <c r="H110" s="136"/>
      <c r="I110" s="143"/>
      <c r="J110" s="76"/>
      <c r="K110" s="146">
        <v>5</v>
      </c>
      <c r="L110" s="74">
        <v>30</v>
      </c>
      <c r="M110" s="79">
        <v>44</v>
      </c>
      <c r="N110" s="78">
        <f>IF(L110=0," ",IF(L110=0,0,501-M110))</f>
        <v>457</v>
      </c>
      <c r="O110" s="74"/>
      <c r="P110" s="352"/>
      <c r="Q110" s="417"/>
      <c r="R110" s="365"/>
      <c r="S110" s="35"/>
      <c r="U110" s="61"/>
      <c r="V110" s="200" t="str">
        <f>IF(AND(E110=501,N110=501),"TARKISTA JÄI-SARAKE"," ")</f>
        <v xml:space="preserve"> </v>
      </c>
      <c r="W110" s="198"/>
      <c r="X110" s="65"/>
      <c r="Y110" s="61"/>
      <c r="Z110" s="61"/>
      <c r="AA110" s="61"/>
      <c r="AB110" s="201" t="str">
        <f>IF(AND(C110=0,L110&gt;0),"toinen TIKAT-sarake tyhjä !",IF(AND(C110&gt;0,L110=0),"toinen TIKAT-sarake tyhjä !",""))</f>
        <v/>
      </c>
      <c r="AC110" s="61"/>
      <c r="AH110" s="61"/>
      <c r="AI110" s="61"/>
      <c r="AJ110" s="61"/>
      <c r="AK110" s="61"/>
      <c r="AL110" s="61"/>
      <c r="AM110" s="269"/>
      <c r="AN110" s="61"/>
      <c r="AO110" s="65"/>
      <c r="AP110" s="269"/>
      <c r="AQ110" s="61"/>
      <c r="AR110" s="61"/>
      <c r="AS110" s="61"/>
      <c r="AT110" s="61"/>
      <c r="AU110" s="61"/>
      <c r="AV110" s="202"/>
      <c r="AW110" s="202"/>
    </row>
    <row r="111" spans="1:49" s="27" customFormat="1" ht="15" customHeight="1" thickBot="1" x14ac:dyDescent="0.3">
      <c r="A111" s="372"/>
      <c r="B111" s="375"/>
      <c r="C111" s="373">
        <f>COUNTIF(C106:C110,"&gt;0")</f>
        <v>5</v>
      </c>
      <c r="D111" s="154">
        <f>COUNTIF(D106:D110,"&gt;0")</f>
        <v>2</v>
      </c>
      <c r="E111" s="149"/>
      <c r="F111" s="149"/>
      <c r="G111" s="149"/>
      <c r="H111" s="152"/>
      <c r="I111" s="150"/>
      <c r="J111" s="151"/>
      <c r="K111" s="139"/>
      <c r="L111" s="154">
        <f>COUNTIF(L106:L110,"&gt;0")</f>
        <v>5</v>
      </c>
      <c r="M111" s="154">
        <f>COUNTIF(M106:M110,"&gt;0")</f>
        <v>3</v>
      </c>
      <c r="N111" s="149"/>
      <c r="O111" s="139"/>
      <c r="P111" s="139"/>
      <c r="Q111" s="418"/>
      <c r="R111" s="365"/>
      <c r="S111" s="35"/>
      <c r="U111" s="61"/>
      <c r="V111" s="202"/>
      <c r="W111" s="61"/>
      <c r="X111" s="61"/>
      <c r="Y111" s="61"/>
      <c r="Z111" s="61"/>
      <c r="AA111" s="61"/>
      <c r="AB111" s="202"/>
      <c r="AC111" s="61"/>
      <c r="AH111" s="61"/>
      <c r="AI111" s="61"/>
      <c r="AJ111" s="61"/>
      <c r="AK111" s="61"/>
      <c r="AL111" s="61"/>
      <c r="AM111" s="269"/>
      <c r="AN111" s="61"/>
      <c r="AO111" s="65"/>
      <c r="AP111" s="269"/>
      <c r="AQ111" s="61"/>
      <c r="AR111" s="61"/>
      <c r="AS111" s="61"/>
      <c r="AT111" s="61"/>
      <c r="AU111" s="61"/>
      <c r="AV111" s="202"/>
      <c r="AW111" s="202"/>
    </row>
    <row r="112" spans="1:49" s="61" customFormat="1" ht="37.5" customHeight="1" thickBot="1" x14ac:dyDescent="0.3">
      <c r="A112" s="66"/>
      <c r="B112" s="374" t="s">
        <v>22</v>
      </c>
      <c r="C112" s="63"/>
      <c r="H112" s="27"/>
      <c r="I112" s="68"/>
      <c r="J112" s="68"/>
      <c r="K112" s="68"/>
      <c r="L112" s="68"/>
      <c r="M112" s="68"/>
      <c r="Q112" s="63"/>
      <c r="R112" s="66"/>
      <c r="S112" s="60"/>
      <c r="T112" s="27"/>
      <c r="V112" s="202"/>
      <c r="AB112" s="202"/>
      <c r="AD112" s="27"/>
      <c r="AE112" s="27"/>
      <c r="AF112" s="27"/>
      <c r="AM112" s="269"/>
      <c r="AO112" s="65"/>
      <c r="AP112" s="269"/>
      <c r="AV112" s="202"/>
      <c r="AW112" s="202"/>
    </row>
    <row r="113" spans="1:49" s="27" customFormat="1" ht="28.5" customHeight="1" x14ac:dyDescent="0.25">
      <c r="A113" s="131"/>
      <c r="B113" s="132" t="s">
        <v>0</v>
      </c>
      <c r="C113" s="489" t="str">
        <f>C25</f>
        <v>Lokkinen Marko</v>
      </c>
      <c r="D113" s="489"/>
      <c r="E113" s="489"/>
      <c r="F113" s="489"/>
      <c r="G113" s="489"/>
      <c r="H113" s="159">
        <f>IF(OR(H114="L",C113=0),0,1)</f>
        <v>1</v>
      </c>
      <c r="I113" s="142"/>
      <c r="J113" s="133"/>
      <c r="K113" s="134" t="s">
        <v>0</v>
      </c>
      <c r="L113" s="308" t="str">
        <f>J25</f>
        <v>Lindholm Tobias</v>
      </c>
      <c r="M113" s="308"/>
      <c r="N113" s="308"/>
      <c r="O113" s="308"/>
      <c r="P113" s="308"/>
      <c r="Q113" s="419"/>
      <c r="R113" s="420"/>
      <c r="S113" s="60">
        <f>IF(OR(I114="L",L113=0),0,1)</f>
        <v>1</v>
      </c>
      <c r="U113" s="61"/>
      <c r="V113" s="202"/>
      <c r="W113" s="61"/>
      <c r="X113" s="61"/>
      <c r="Y113" s="61"/>
      <c r="Z113" s="61"/>
      <c r="AA113" s="61"/>
      <c r="AB113" s="202"/>
      <c r="AC113" s="61"/>
      <c r="AH113" s="61"/>
      <c r="AI113" s="61"/>
      <c r="AJ113" s="61"/>
      <c r="AK113" s="61"/>
      <c r="AL113" s="61"/>
      <c r="AM113" s="269"/>
      <c r="AN113" s="61"/>
      <c r="AO113" s="65"/>
      <c r="AP113" s="269"/>
      <c r="AQ113" s="61"/>
      <c r="AR113" s="61"/>
      <c r="AS113" s="61"/>
      <c r="AT113" s="61"/>
      <c r="AU113" s="61"/>
      <c r="AV113" s="202"/>
      <c r="AW113" s="202"/>
    </row>
    <row r="114" spans="1:49" s="27" customFormat="1" x14ac:dyDescent="0.25">
      <c r="A114" s="135"/>
      <c r="B114" s="35"/>
      <c r="C114" s="35"/>
      <c r="D114" s="35"/>
      <c r="E114" s="35"/>
      <c r="F114" s="35"/>
      <c r="G114" s="35"/>
      <c r="H114" s="170"/>
      <c r="I114" s="510"/>
      <c r="J114" s="511"/>
      <c r="K114" s="76"/>
      <c r="L114" s="76"/>
      <c r="M114" s="76"/>
      <c r="N114" s="35"/>
      <c r="O114" s="35"/>
      <c r="P114" s="35"/>
      <c r="Q114" s="367"/>
      <c r="R114" s="189"/>
      <c r="S114" s="60"/>
      <c r="U114" s="61"/>
      <c r="V114" s="202"/>
      <c r="W114" s="61"/>
      <c r="X114" s="61"/>
      <c r="Y114" s="61"/>
      <c r="Z114" s="61"/>
      <c r="AA114" s="61"/>
      <c r="AB114" s="202"/>
      <c r="AC114" s="61"/>
      <c r="AH114" s="61"/>
      <c r="AI114" s="61"/>
      <c r="AJ114" s="61"/>
      <c r="AK114" s="61"/>
      <c r="AL114" s="61"/>
      <c r="AM114" s="269"/>
      <c r="AN114" s="61"/>
      <c r="AO114" s="65"/>
      <c r="AP114" s="269"/>
      <c r="AQ114" s="61"/>
      <c r="AR114" s="61"/>
      <c r="AS114" s="61"/>
      <c r="AT114" s="61"/>
      <c r="AU114" s="61"/>
      <c r="AV114" s="202"/>
      <c r="AW114" s="202"/>
    </row>
    <row r="115" spans="1:49" s="27" customFormat="1" x14ac:dyDescent="0.25">
      <c r="A115" s="135"/>
      <c r="B115" s="147" t="s">
        <v>1</v>
      </c>
      <c r="C115" s="72" t="s">
        <v>13</v>
      </c>
      <c r="D115" s="72" t="s">
        <v>14</v>
      </c>
      <c r="E115" s="130" t="s">
        <v>5</v>
      </c>
      <c r="F115" s="72" t="s">
        <v>15</v>
      </c>
      <c r="G115" s="72" t="s">
        <v>16</v>
      </c>
      <c r="H115" s="153"/>
      <c r="I115" s="144"/>
      <c r="J115" s="73"/>
      <c r="K115" s="147" t="s">
        <v>1</v>
      </c>
      <c r="L115" s="72" t="s">
        <v>13</v>
      </c>
      <c r="M115" s="72" t="s">
        <v>14</v>
      </c>
      <c r="N115" s="130" t="s">
        <v>5</v>
      </c>
      <c r="O115" s="318" t="s">
        <v>15</v>
      </c>
      <c r="P115" s="72" t="s">
        <v>16</v>
      </c>
      <c r="Q115" s="416"/>
      <c r="R115" s="360"/>
      <c r="S115" s="60"/>
      <c r="U115" s="61"/>
      <c r="V115" s="202"/>
      <c r="W115" s="61"/>
      <c r="X115" s="61"/>
      <c r="Y115" s="61"/>
      <c r="Z115" s="61"/>
      <c r="AA115" s="61"/>
      <c r="AB115" s="202"/>
      <c r="AC115" s="61"/>
      <c r="AH115" s="61"/>
      <c r="AI115" s="61"/>
      <c r="AJ115" s="61"/>
      <c r="AK115" s="61"/>
      <c r="AL115" s="61"/>
      <c r="AM115" s="269"/>
      <c r="AN115" s="61"/>
      <c r="AO115" s="65"/>
      <c r="AP115" s="269"/>
      <c r="AQ115" s="61"/>
      <c r="AR115" s="61"/>
      <c r="AS115" s="61"/>
      <c r="AT115" s="61"/>
      <c r="AU115" s="61"/>
      <c r="AV115" s="202"/>
      <c r="AW115" s="202"/>
    </row>
    <row r="116" spans="1:49" s="27" customFormat="1" ht="30" customHeight="1" x14ac:dyDescent="0.25">
      <c r="A116" s="135"/>
      <c r="B116" s="146">
        <v>1</v>
      </c>
      <c r="C116" s="74">
        <v>31</v>
      </c>
      <c r="D116" s="74"/>
      <c r="E116" s="78">
        <f>IF(C116=0," ",IF(C116=0,0,501-D116))</f>
        <v>501</v>
      </c>
      <c r="F116" s="74"/>
      <c r="G116" s="74"/>
      <c r="H116" s="158">
        <f>IF(AND(H113=1,S113=0),1,IF(COUNT(C116:C120)&gt;2,IF(COUNT(D116:D120)=3,0,1),0))</f>
        <v>0</v>
      </c>
      <c r="I116" s="143"/>
      <c r="J116" s="76"/>
      <c r="K116" s="146">
        <v>1</v>
      </c>
      <c r="L116" s="74">
        <v>30</v>
      </c>
      <c r="M116" s="79">
        <v>2</v>
      </c>
      <c r="N116" s="78">
        <f>IF(L116=0," ",IF(L116=0,0,501-M116))</f>
        <v>499</v>
      </c>
      <c r="O116" s="74"/>
      <c r="P116" s="352"/>
      <c r="Q116" s="417"/>
      <c r="R116" s="365"/>
      <c r="S116" s="60"/>
      <c r="U116" s="75">
        <f>IF(AND(S113=1,H113=0),1,IF(COUNT(L116:L120)&gt;2,IF(COUNT(M116:M120)=3,0,1),0))</f>
        <v>1</v>
      </c>
      <c r="V116" s="200" t="str">
        <f>IF(AND(E116=501,N116=501),"TARKISTA JÄI-SARAKE"," ")</f>
        <v xml:space="preserve"> </v>
      </c>
      <c r="W116" s="61"/>
      <c r="X116" s="61"/>
      <c r="Y116" s="61"/>
      <c r="Z116" s="61"/>
      <c r="AA116" s="61"/>
      <c r="AB116" s="201" t="str">
        <f>IF(AND(C116=0,L116&gt;0),"toinen TIKAT-sarake tyhjä !",IF(AND(C116&gt;0,L116=0),"toinen TIKAT-sarake tyhjä !",""))</f>
        <v/>
      </c>
      <c r="AC116" s="61"/>
      <c r="AH116" s="61"/>
      <c r="AI116" s="61"/>
      <c r="AJ116" s="61"/>
      <c r="AK116" s="61"/>
      <c r="AL116" s="61"/>
      <c r="AM116" s="269"/>
      <c r="AN116" s="61"/>
      <c r="AO116" s="65"/>
      <c r="AP116" s="269"/>
      <c r="AQ116" s="61"/>
      <c r="AR116" s="61"/>
      <c r="AS116" s="61"/>
      <c r="AT116" s="61"/>
      <c r="AU116" s="61"/>
      <c r="AV116" s="202"/>
      <c r="AW116" s="202"/>
    </row>
    <row r="117" spans="1:49" s="27" customFormat="1" ht="30" customHeight="1" x14ac:dyDescent="0.25">
      <c r="A117" s="566" t="s">
        <v>23</v>
      </c>
      <c r="B117" s="146">
        <v>2</v>
      </c>
      <c r="C117" s="74">
        <v>21</v>
      </c>
      <c r="D117" s="74">
        <v>303</v>
      </c>
      <c r="E117" s="78">
        <f>IF(C117=0," ",IF(C117=0,0,501-D117))</f>
        <v>198</v>
      </c>
      <c r="F117" s="74"/>
      <c r="G117" s="74"/>
      <c r="H117" s="136"/>
      <c r="I117" s="143"/>
      <c r="J117" s="76"/>
      <c r="K117" s="146">
        <v>2</v>
      </c>
      <c r="L117" s="74">
        <v>22</v>
      </c>
      <c r="M117" s="79"/>
      <c r="N117" s="78">
        <f>IF(L117=0," ",IF(L117=0,0,501-M117))</f>
        <v>501</v>
      </c>
      <c r="O117" s="74">
        <v>1</v>
      </c>
      <c r="P117" s="352"/>
      <c r="Q117" s="417"/>
      <c r="R117" s="365"/>
      <c r="S117" s="35"/>
      <c r="U117" s="61"/>
      <c r="V117" s="200" t="str">
        <f>IF(AND(E117=501,N117=501),"TARKISTA JÄI-SARAKE"," ")</f>
        <v xml:space="preserve"> </v>
      </c>
      <c r="W117" s="198"/>
      <c r="X117" s="65"/>
      <c r="Y117" s="61"/>
      <c r="Z117" s="61"/>
      <c r="AA117" s="61"/>
      <c r="AB117" s="201" t="str">
        <f>IF(AND(C117=0,L117&gt;0),"toinen TIKAT-sarake tyhjä !",IF(AND(C117&gt;0,L117=0),"toinen TIKAT-sarake tyhjä !",""))</f>
        <v/>
      </c>
      <c r="AC117" s="61"/>
      <c r="AH117" s="61"/>
      <c r="AI117" s="61"/>
      <c r="AJ117" s="61"/>
      <c r="AK117" s="61"/>
      <c r="AL117" s="61"/>
      <c r="AM117" s="269"/>
      <c r="AN117" s="61"/>
      <c r="AO117" s="65"/>
      <c r="AP117" s="269"/>
      <c r="AQ117" s="61"/>
      <c r="AR117" s="61"/>
      <c r="AS117" s="61"/>
      <c r="AT117" s="61"/>
      <c r="AU117" s="61"/>
      <c r="AV117" s="202"/>
      <c r="AW117" s="202"/>
    </row>
    <row r="118" spans="1:49" s="27" customFormat="1" ht="30" customHeight="1" x14ac:dyDescent="0.25">
      <c r="A118" s="567"/>
      <c r="B118" s="146">
        <v>3</v>
      </c>
      <c r="C118" s="74">
        <v>33</v>
      </c>
      <c r="D118" s="74">
        <v>100</v>
      </c>
      <c r="E118" s="78">
        <f>IF(C118=0," ",IF(C118=0,0,501-D118))</f>
        <v>401</v>
      </c>
      <c r="F118" s="74"/>
      <c r="G118" s="74"/>
      <c r="H118" s="136"/>
      <c r="I118" s="143"/>
      <c r="J118" s="76"/>
      <c r="K118" s="146">
        <v>3</v>
      </c>
      <c r="L118" s="74">
        <v>33</v>
      </c>
      <c r="M118" s="79"/>
      <c r="N118" s="78">
        <f>IF(L118=0," ",IF(L118=0,0,501-M118))</f>
        <v>501</v>
      </c>
      <c r="O118" s="74">
        <v>1</v>
      </c>
      <c r="P118" s="352"/>
      <c r="Q118" s="417"/>
      <c r="R118" s="365"/>
      <c r="S118" s="35"/>
      <c r="U118" s="61"/>
      <c r="V118" s="200" t="str">
        <f>IF(AND(E118=501,N118=501),"TARKISTA JÄI-SARAKE"," ")</f>
        <v xml:space="preserve"> </v>
      </c>
      <c r="W118" s="198"/>
      <c r="X118" s="65"/>
      <c r="Y118" s="61"/>
      <c r="Z118" s="61"/>
      <c r="AA118" s="61"/>
      <c r="AB118" s="201" t="str">
        <f>IF(AND(C118=0,L118&gt;0),"toinen TIKAT-sarake tyhjä !",IF(AND(C118&gt;0,L118=0),"toinen TIKAT-sarake tyhjä !",""))</f>
        <v/>
      </c>
      <c r="AC118" s="61"/>
      <c r="AH118" s="61"/>
      <c r="AI118" s="61"/>
      <c r="AJ118" s="61"/>
      <c r="AK118" s="61"/>
      <c r="AL118" s="61"/>
      <c r="AM118" s="269"/>
      <c r="AN118" s="61"/>
      <c r="AO118" s="65"/>
      <c r="AP118" s="269"/>
      <c r="AQ118" s="61"/>
      <c r="AR118" s="61"/>
      <c r="AS118" s="61"/>
      <c r="AT118" s="61"/>
      <c r="AU118" s="61"/>
      <c r="AV118" s="202"/>
      <c r="AW118" s="202"/>
    </row>
    <row r="119" spans="1:49" s="27" customFormat="1" ht="30" customHeight="1" x14ac:dyDescent="0.25">
      <c r="A119" s="567"/>
      <c r="B119" s="146">
        <v>4</v>
      </c>
      <c r="C119" s="74">
        <v>36</v>
      </c>
      <c r="D119" s="74">
        <v>19</v>
      </c>
      <c r="E119" s="78">
        <f>IF(C119=0," ",IF(C119=0,0,501-D119))</f>
        <v>482</v>
      </c>
      <c r="F119" s="74">
        <v>1</v>
      </c>
      <c r="G119" s="74"/>
      <c r="H119" s="136"/>
      <c r="I119" s="143"/>
      <c r="J119" s="76"/>
      <c r="K119" s="146">
        <v>4</v>
      </c>
      <c r="L119" s="74">
        <v>37</v>
      </c>
      <c r="M119" s="79"/>
      <c r="N119" s="78">
        <f>IF(L119=0," ",IF(L119=0,0,501-M119))</f>
        <v>501</v>
      </c>
      <c r="O119" s="74"/>
      <c r="P119" s="352"/>
      <c r="Q119" s="417"/>
      <c r="R119" s="365"/>
      <c r="S119" s="35"/>
      <c r="U119" s="61"/>
      <c r="V119" s="200" t="str">
        <f>IF(AND(E119=501,N119=501),"TARKISTA JÄI-SARAKE"," ")</f>
        <v xml:space="preserve"> </v>
      </c>
      <c r="W119" s="198"/>
      <c r="X119" s="65"/>
      <c r="Y119" s="61"/>
      <c r="Z119" s="61"/>
      <c r="AA119" s="61"/>
      <c r="AB119" s="201" t="str">
        <f>IF(AND(C119=0,L119&gt;0),"toinen TIKAT-sarake tyhjä !",IF(AND(C119&gt;0,L119=0),"toinen TIKAT-sarake tyhjä !",""))</f>
        <v/>
      </c>
      <c r="AC119" s="61"/>
      <c r="AH119" s="61"/>
      <c r="AI119" s="61"/>
      <c r="AJ119" s="61"/>
      <c r="AK119" s="61"/>
      <c r="AL119" s="61"/>
      <c r="AM119" s="269"/>
      <c r="AN119" s="61"/>
      <c r="AO119" s="65"/>
      <c r="AP119" s="269"/>
      <c r="AQ119" s="61"/>
      <c r="AR119" s="61"/>
      <c r="AS119" s="61"/>
      <c r="AT119" s="61"/>
      <c r="AU119" s="61"/>
      <c r="AV119" s="202"/>
      <c r="AW119" s="202"/>
    </row>
    <row r="120" spans="1:49" s="27" customFormat="1" ht="30" customHeight="1" x14ac:dyDescent="0.25">
      <c r="A120" s="135"/>
      <c r="B120" s="146">
        <v>5</v>
      </c>
      <c r="C120" s="74"/>
      <c r="D120" s="74"/>
      <c r="E120" s="78" t="str">
        <f>IF(C120=0," ",IF(C120=0,0,501-D120))</f>
        <v xml:space="preserve"> </v>
      </c>
      <c r="F120" s="74"/>
      <c r="G120" s="74"/>
      <c r="H120" s="136"/>
      <c r="I120" s="143"/>
      <c r="J120" s="76"/>
      <c r="K120" s="146">
        <v>5</v>
      </c>
      <c r="L120" s="74"/>
      <c r="M120" s="79"/>
      <c r="N120" s="78" t="str">
        <f>IF(L120=0," ",IF(L120=0,0,501-M120))</f>
        <v xml:space="preserve"> </v>
      </c>
      <c r="O120" s="74"/>
      <c r="P120" s="352"/>
      <c r="Q120" s="417"/>
      <c r="R120" s="365"/>
      <c r="S120" s="35"/>
      <c r="U120" s="61"/>
      <c r="V120" s="200" t="str">
        <f>IF(AND(E120=501,N120=501),"TARKISTA JÄI-SARAKE"," ")</f>
        <v xml:space="preserve"> </v>
      </c>
      <c r="W120" s="198"/>
      <c r="X120" s="65"/>
      <c r="Y120" s="61"/>
      <c r="Z120" s="61"/>
      <c r="AA120" s="61"/>
      <c r="AB120" s="201" t="str">
        <f>IF(AND(C120=0,L120&gt;0),"toinen TIKAT-sarake tyhjä !",IF(AND(C120&gt;0,L120=0),"toinen TIKAT-sarake tyhjä !",""))</f>
        <v/>
      </c>
      <c r="AC120" s="61"/>
      <c r="AH120" s="61"/>
      <c r="AI120" s="61"/>
      <c r="AJ120" s="61"/>
      <c r="AK120" s="61"/>
      <c r="AL120" s="61"/>
      <c r="AM120" s="269"/>
      <c r="AN120" s="61"/>
      <c r="AO120" s="65"/>
      <c r="AP120" s="269"/>
      <c r="AQ120" s="61"/>
      <c r="AR120" s="61"/>
      <c r="AS120" s="61"/>
      <c r="AT120" s="61"/>
      <c r="AU120" s="61"/>
      <c r="AV120" s="202"/>
      <c r="AW120" s="202"/>
    </row>
    <row r="121" spans="1:49" s="27" customFormat="1" ht="20.25" customHeight="1" thickBot="1" x14ac:dyDescent="0.3">
      <c r="A121" s="369" t="s">
        <v>23</v>
      </c>
      <c r="B121" s="375"/>
      <c r="C121" s="373">
        <f>COUNTIF(C116:C120,"&gt;0")</f>
        <v>4</v>
      </c>
      <c r="D121" s="154">
        <f>COUNTIF(D116:D120,"&gt;0")</f>
        <v>3</v>
      </c>
      <c r="E121" s="139"/>
      <c r="F121" s="139"/>
      <c r="G121" s="139"/>
      <c r="H121" s="152"/>
      <c r="I121" s="150"/>
      <c r="J121" s="151"/>
      <c r="K121" s="151"/>
      <c r="L121" s="154">
        <f>COUNTIF(L116:L120,"&gt;0")</f>
        <v>4</v>
      </c>
      <c r="M121" s="154">
        <f>COUNTIF(M116:M120,"&gt;0")</f>
        <v>1</v>
      </c>
      <c r="N121" s="139"/>
      <c r="O121" s="139"/>
      <c r="P121" s="139"/>
      <c r="Q121" s="418"/>
      <c r="R121" s="189"/>
      <c r="S121" s="35"/>
      <c r="U121" s="61"/>
      <c r="V121" s="202"/>
      <c r="W121" s="61"/>
      <c r="X121" s="61"/>
      <c r="Y121" s="61"/>
      <c r="Z121" s="61"/>
      <c r="AA121" s="61"/>
      <c r="AB121" s="202"/>
      <c r="AC121" s="61"/>
      <c r="AH121" s="61"/>
      <c r="AI121" s="61"/>
      <c r="AJ121" s="61"/>
      <c r="AK121" s="61"/>
      <c r="AL121" s="61"/>
      <c r="AM121" s="269"/>
      <c r="AN121" s="61"/>
      <c r="AO121" s="65"/>
      <c r="AP121" s="269"/>
      <c r="AQ121" s="61"/>
      <c r="AR121" s="61"/>
      <c r="AS121" s="61"/>
      <c r="AT121" s="61"/>
      <c r="AU121" s="61"/>
      <c r="AV121" s="202"/>
      <c r="AW121" s="202"/>
    </row>
    <row r="122" spans="1:49" s="61" customFormat="1" ht="36.75" customHeight="1" thickBot="1" x14ac:dyDescent="0.3">
      <c r="A122" s="66"/>
      <c r="B122" s="63"/>
      <c r="C122" s="63"/>
      <c r="H122" s="27"/>
      <c r="I122" s="68"/>
      <c r="J122" s="68"/>
      <c r="K122" s="68"/>
      <c r="L122" s="68"/>
      <c r="M122" s="68"/>
      <c r="Q122" s="63"/>
      <c r="R122" s="66"/>
      <c r="S122" s="60"/>
      <c r="T122" s="27"/>
      <c r="V122" s="202"/>
      <c r="AB122" s="202"/>
      <c r="AD122" s="27"/>
      <c r="AE122" s="27"/>
      <c r="AF122" s="27"/>
      <c r="AM122" s="269"/>
      <c r="AO122" s="65"/>
      <c r="AP122" s="269"/>
      <c r="AV122" s="202"/>
      <c r="AW122" s="202"/>
    </row>
    <row r="123" spans="1:49" s="27" customFormat="1" ht="29.25" customHeight="1" x14ac:dyDescent="0.25">
      <c r="A123" s="131"/>
      <c r="B123" s="132" t="s">
        <v>0</v>
      </c>
      <c r="C123" s="489" t="str">
        <f>C26</f>
        <v>Mantila Petri</v>
      </c>
      <c r="D123" s="489"/>
      <c r="E123" s="489"/>
      <c r="F123" s="489"/>
      <c r="G123" s="489"/>
      <c r="H123" s="159">
        <f>IF(OR(H124="L",C123=0),0,1)</f>
        <v>1</v>
      </c>
      <c r="I123" s="142"/>
      <c r="J123" s="133"/>
      <c r="K123" s="134" t="s">
        <v>0</v>
      </c>
      <c r="L123" s="308" t="str">
        <f>J26</f>
        <v>Holmström Bjarne</v>
      </c>
      <c r="M123" s="308"/>
      <c r="N123" s="308"/>
      <c r="O123" s="308"/>
      <c r="P123" s="308"/>
      <c r="Q123" s="419"/>
      <c r="R123" s="420"/>
      <c r="S123" s="60">
        <f>IF(OR(I124="L",L123=0),0,1)</f>
        <v>1</v>
      </c>
      <c r="U123" s="61"/>
      <c r="V123" s="202"/>
      <c r="W123" s="61"/>
      <c r="X123" s="61"/>
      <c r="Y123" s="61"/>
      <c r="Z123" s="61"/>
      <c r="AA123" s="61"/>
      <c r="AB123" s="202"/>
      <c r="AC123" s="61"/>
      <c r="AH123" s="61"/>
      <c r="AI123" s="61"/>
      <c r="AJ123" s="61"/>
      <c r="AK123" s="61"/>
      <c r="AL123" s="61"/>
      <c r="AM123" s="269"/>
      <c r="AN123" s="61"/>
      <c r="AO123" s="65"/>
      <c r="AP123" s="269"/>
      <c r="AQ123" s="61"/>
      <c r="AR123" s="61"/>
      <c r="AS123" s="61"/>
      <c r="AT123" s="61"/>
      <c r="AU123" s="61"/>
      <c r="AV123" s="202"/>
      <c r="AW123" s="202"/>
    </row>
    <row r="124" spans="1:49" s="27" customFormat="1" x14ac:dyDescent="0.25">
      <c r="A124" s="135"/>
      <c r="B124" s="35"/>
      <c r="C124" s="35"/>
      <c r="D124" s="35"/>
      <c r="E124" s="35"/>
      <c r="F124" s="35"/>
      <c r="G124" s="35"/>
      <c r="H124" s="170"/>
      <c r="I124" s="510"/>
      <c r="J124" s="511"/>
      <c r="K124" s="76"/>
      <c r="L124" s="76"/>
      <c r="M124" s="76"/>
      <c r="N124" s="35"/>
      <c r="O124" s="35"/>
      <c r="P124" s="35"/>
      <c r="Q124" s="367"/>
      <c r="R124" s="189"/>
      <c r="S124" s="35"/>
      <c r="U124" s="61"/>
      <c r="V124" s="202"/>
      <c r="W124" s="61"/>
      <c r="X124" s="61"/>
      <c r="Y124" s="61"/>
      <c r="Z124" s="61"/>
      <c r="AA124" s="61"/>
      <c r="AB124" s="202"/>
      <c r="AC124" s="61"/>
      <c r="AH124" s="61"/>
      <c r="AI124" s="61"/>
      <c r="AJ124" s="61"/>
      <c r="AK124" s="61"/>
      <c r="AL124" s="61"/>
      <c r="AM124" s="269"/>
      <c r="AN124" s="61"/>
      <c r="AO124" s="65"/>
      <c r="AP124" s="269"/>
      <c r="AQ124" s="61"/>
      <c r="AR124" s="61"/>
      <c r="AS124" s="61"/>
      <c r="AT124" s="61"/>
      <c r="AU124" s="61"/>
      <c r="AV124" s="202"/>
      <c r="AW124" s="202"/>
    </row>
    <row r="125" spans="1:49" s="27" customFormat="1" x14ac:dyDescent="0.25">
      <c r="A125" s="135"/>
      <c r="B125" s="147" t="s">
        <v>1</v>
      </c>
      <c r="C125" s="72" t="s">
        <v>13</v>
      </c>
      <c r="D125" s="72" t="s">
        <v>14</v>
      </c>
      <c r="E125" s="130" t="s">
        <v>5</v>
      </c>
      <c r="F125" s="72" t="s">
        <v>15</v>
      </c>
      <c r="G125" s="72" t="s">
        <v>16</v>
      </c>
      <c r="H125" s="157"/>
      <c r="I125" s="144"/>
      <c r="J125" s="73"/>
      <c r="K125" s="147" t="s">
        <v>1</v>
      </c>
      <c r="L125" s="72" t="s">
        <v>13</v>
      </c>
      <c r="M125" s="72" t="s">
        <v>14</v>
      </c>
      <c r="N125" s="130" t="s">
        <v>5</v>
      </c>
      <c r="O125" s="318" t="s">
        <v>15</v>
      </c>
      <c r="P125" s="72" t="s">
        <v>16</v>
      </c>
      <c r="Q125" s="416"/>
      <c r="R125" s="360"/>
      <c r="S125" s="35"/>
      <c r="U125" s="61"/>
      <c r="V125" s="202"/>
      <c r="W125" s="61"/>
      <c r="X125" s="61"/>
      <c r="Y125" s="61"/>
      <c r="Z125" s="61"/>
      <c r="AA125" s="61"/>
      <c r="AB125" s="202"/>
      <c r="AC125" s="61"/>
      <c r="AH125" s="61"/>
      <c r="AI125" s="61"/>
      <c r="AJ125" s="61"/>
      <c r="AK125" s="61"/>
      <c r="AL125" s="61"/>
      <c r="AM125" s="269"/>
      <c r="AN125" s="61"/>
      <c r="AO125" s="65"/>
      <c r="AP125" s="269"/>
      <c r="AQ125" s="61"/>
      <c r="AR125" s="61"/>
      <c r="AS125" s="61"/>
      <c r="AT125" s="61"/>
      <c r="AU125" s="61"/>
      <c r="AV125" s="202"/>
      <c r="AW125" s="202"/>
    </row>
    <row r="126" spans="1:49" s="27" customFormat="1" ht="30" customHeight="1" x14ac:dyDescent="0.25">
      <c r="A126" s="135"/>
      <c r="B126" s="146">
        <v>1</v>
      </c>
      <c r="C126" s="74">
        <v>36</v>
      </c>
      <c r="D126" s="74">
        <v>59</v>
      </c>
      <c r="E126" s="78">
        <f>IF(C126=0," ",IF(C126=0,0,501-D126))</f>
        <v>442</v>
      </c>
      <c r="F126" s="74"/>
      <c r="G126" s="74"/>
      <c r="H126" s="158">
        <f>IF(AND(H123=1,S123=0),1,IF(COUNT(C126:C130)&gt;2,IF(COUNT(D126:D130)=3,0,1),0))</f>
        <v>0</v>
      </c>
      <c r="I126" s="143"/>
      <c r="J126" s="76"/>
      <c r="K126" s="146">
        <v>1</v>
      </c>
      <c r="L126" s="79">
        <v>38</v>
      </c>
      <c r="M126" s="79"/>
      <c r="N126" s="78">
        <f>IF(L126=0," ",IF(L126=0,0,501-M126))</f>
        <v>501</v>
      </c>
      <c r="O126" s="74">
        <v>1</v>
      </c>
      <c r="P126" s="352"/>
      <c r="Q126" s="417"/>
      <c r="R126" s="368"/>
      <c r="S126" s="35"/>
      <c r="U126" s="75">
        <f>IF(AND(S123=1,H123=0),1,IF(COUNT(L126:L130)&gt;2,IF(COUNT(M126:M130)=3,0,1),0))</f>
        <v>1</v>
      </c>
      <c r="V126" s="200" t="str">
        <f>IF(AND(E126=501,N126=501),"TARKISTA JÄI-SARAKE"," ")</f>
        <v xml:space="preserve"> </v>
      </c>
      <c r="W126" s="61"/>
      <c r="X126" s="61"/>
      <c r="Y126" s="61"/>
      <c r="Z126" s="61"/>
      <c r="AA126" s="61"/>
      <c r="AB126" s="201" t="str">
        <f>IF(AND(C126=0,L126&gt;0),"toinen TIKAT-sarake tyhjä !",IF(AND(C126&gt;0,L126=0),"toinen TIKAT-sarake tyhjä !",""))</f>
        <v/>
      </c>
      <c r="AC126" s="61"/>
      <c r="AH126" s="61"/>
      <c r="AI126" s="61"/>
      <c r="AJ126" s="61"/>
      <c r="AK126" s="61"/>
      <c r="AL126" s="61"/>
      <c r="AM126" s="269"/>
      <c r="AN126" s="61"/>
      <c r="AO126" s="65"/>
      <c r="AP126" s="269"/>
      <c r="AQ126" s="61"/>
      <c r="AR126" s="61"/>
      <c r="AS126" s="61"/>
      <c r="AT126" s="61"/>
      <c r="AU126" s="61"/>
      <c r="AV126" s="202"/>
      <c r="AW126" s="202"/>
    </row>
    <row r="127" spans="1:49" s="27" customFormat="1" ht="30" customHeight="1" x14ac:dyDescent="0.25">
      <c r="A127" s="566" t="s">
        <v>24</v>
      </c>
      <c r="B127" s="146">
        <v>2</v>
      </c>
      <c r="C127" s="74">
        <v>48</v>
      </c>
      <c r="D127" s="74"/>
      <c r="E127" s="78">
        <f>IF(C127=0," ",IF(C127=0,0,501-D127))</f>
        <v>501</v>
      </c>
      <c r="F127" s="74">
        <v>2</v>
      </c>
      <c r="G127" s="74"/>
      <c r="H127" s="136"/>
      <c r="I127" s="143"/>
      <c r="J127" s="76"/>
      <c r="K127" s="146">
        <v>2</v>
      </c>
      <c r="L127" s="79">
        <v>45</v>
      </c>
      <c r="M127" s="79">
        <v>26</v>
      </c>
      <c r="N127" s="78">
        <f>IF(L127=0," ",IF(L127=0,0,501-M127))</f>
        <v>475</v>
      </c>
      <c r="O127" s="74"/>
      <c r="P127" s="352"/>
      <c r="Q127" s="417"/>
      <c r="R127" s="368"/>
      <c r="S127" s="35"/>
      <c r="U127" s="61"/>
      <c r="V127" s="200" t="str">
        <f>IF(AND(E127=501,N127=501),"TARKISTA JÄI-SARAKE"," ")</f>
        <v xml:space="preserve"> </v>
      </c>
      <c r="W127" s="198"/>
      <c r="X127" s="65"/>
      <c r="Y127" s="61"/>
      <c r="Z127" s="61"/>
      <c r="AA127" s="61"/>
      <c r="AB127" s="201" t="str">
        <f>IF(AND(C127=0,L127&gt;0),"toinen TIKAT-sarake tyhjä !",IF(AND(C127&gt;0,L127=0),"toinen TIKAT-sarake tyhjä !",""))</f>
        <v/>
      </c>
      <c r="AC127" s="61"/>
      <c r="AH127" s="61"/>
      <c r="AI127" s="61"/>
      <c r="AJ127" s="61"/>
      <c r="AK127" s="61"/>
      <c r="AL127" s="61"/>
      <c r="AM127" s="269"/>
      <c r="AN127" s="61"/>
      <c r="AO127" s="65"/>
      <c r="AP127" s="269"/>
      <c r="AQ127" s="61"/>
      <c r="AR127" s="61"/>
      <c r="AS127" s="61"/>
      <c r="AT127" s="61"/>
      <c r="AU127" s="61"/>
      <c r="AV127" s="202"/>
      <c r="AW127" s="202"/>
    </row>
    <row r="128" spans="1:49" s="27" customFormat="1" ht="30" customHeight="1" x14ac:dyDescent="0.25">
      <c r="A128" s="567"/>
      <c r="B128" s="146">
        <v>3</v>
      </c>
      <c r="C128" s="74">
        <v>54</v>
      </c>
      <c r="D128" s="74">
        <v>2</v>
      </c>
      <c r="E128" s="78">
        <f>IF(C128=0," ",IF(C128=0,0,501-D128))</f>
        <v>499</v>
      </c>
      <c r="F128" s="74">
        <v>1</v>
      </c>
      <c r="G128" s="74"/>
      <c r="H128" s="136"/>
      <c r="I128" s="143"/>
      <c r="J128" s="76"/>
      <c r="K128" s="146">
        <v>3</v>
      </c>
      <c r="L128" s="79">
        <v>57</v>
      </c>
      <c r="M128" s="79"/>
      <c r="N128" s="78">
        <f>IF(L128=0," ",IF(L128=0,0,501-M128))</f>
        <v>501</v>
      </c>
      <c r="O128" s="74"/>
      <c r="P128" s="352"/>
      <c r="Q128" s="417"/>
      <c r="R128" s="368"/>
      <c r="S128" s="35"/>
      <c r="U128" s="61"/>
      <c r="V128" s="200" t="str">
        <f>IF(AND(E128=501,N128=501),"TARKISTA JÄI-SARAKE"," ")</f>
        <v xml:space="preserve"> </v>
      </c>
      <c r="W128" s="198"/>
      <c r="X128" s="65"/>
      <c r="Y128" s="61"/>
      <c r="Z128" s="61"/>
      <c r="AA128" s="61"/>
      <c r="AB128" s="201" t="str">
        <f>IF(AND(C128=0,L128&gt;0),"toinen TIKAT-sarake tyhjä !",IF(AND(C128&gt;0,L128=0),"toinen TIKAT-sarake tyhjä !",""))</f>
        <v/>
      </c>
      <c r="AC128" s="61"/>
      <c r="AH128" s="61"/>
      <c r="AI128" s="61"/>
      <c r="AJ128" s="61"/>
      <c r="AK128" s="61"/>
      <c r="AL128" s="61"/>
      <c r="AM128" s="269"/>
      <c r="AN128" s="61"/>
      <c r="AO128" s="65"/>
      <c r="AP128" s="269"/>
      <c r="AQ128" s="61"/>
      <c r="AR128" s="61"/>
      <c r="AS128" s="61"/>
      <c r="AT128" s="61"/>
      <c r="AU128" s="61"/>
      <c r="AV128" s="202"/>
      <c r="AW128" s="202"/>
    </row>
    <row r="129" spans="1:49" s="27" customFormat="1" ht="30" customHeight="1" x14ac:dyDescent="0.25">
      <c r="A129" s="567"/>
      <c r="B129" s="146">
        <v>4</v>
      </c>
      <c r="C129" s="74">
        <v>33</v>
      </c>
      <c r="D129" s="74">
        <v>40</v>
      </c>
      <c r="E129" s="78">
        <f>IF(C129=0," ",IF(C129=0,0,501-D129))</f>
        <v>461</v>
      </c>
      <c r="F129" s="74"/>
      <c r="G129" s="74"/>
      <c r="H129" s="136"/>
      <c r="I129" s="143"/>
      <c r="J129" s="76"/>
      <c r="K129" s="146">
        <v>4</v>
      </c>
      <c r="L129" s="79">
        <v>32</v>
      </c>
      <c r="M129" s="79"/>
      <c r="N129" s="78">
        <f>IF(L129=0," ",IF(L129=0,0,501-M129))</f>
        <v>501</v>
      </c>
      <c r="O129" s="74"/>
      <c r="P129" s="352"/>
      <c r="Q129" s="417"/>
      <c r="R129" s="368"/>
      <c r="S129" s="35"/>
      <c r="U129" s="61"/>
      <c r="V129" s="200" t="str">
        <f>IF(AND(E129=501,N129=501),"TARKISTA JÄI-SARAKE"," ")</f>
        <v xml:space="preserve"> </v>
      </c>
      <c r="W129" s="198"/>
      <c r="X129" s="65"/>
      <c r="Y129" s="61"/>
      <c r="Z129" s="61"/>
      <c r="AA129" s="61"/>
      <c r="AB129" s="201" t="str">
        <f>IF(AND(C129=0,L129&gt;0),"toinen TIKAT-sarake tyhjä !",IF(AND(C129&gt;0,L129=0),"toinen TIKAT-sarake tyhjä !",""))</f>
        <v/>
      </c>
      <c r="AC129" s="61"/>
      <c r="AH129" s="61"/>
      <c r="AI129" s="61"/>
      <c r="AJ129" s="61"/>
      <c r="AK129" s="61"/>
      <c r="AL129" s="61"/>
      <c r="AM129" s="269"/>
      <c r="AN129" s="61"/>
      <c r="AO129" s="65"/>
      <c r="AP129" s="269"/>
      <c r="AQ129" s="61"/>
      <c r="AR129" s="61"/>
      <c r="AS129" s="61"/>
      <c r="AT129" s="61"/>
      <c r="AU129" s="61"/>
      <c r="AV129" s="202"/>
      <c r="AW129" s="202"/>
    </row>
    <row r="130" spans="1:49" s="27" customFormat="1" ht="30" customHeight="1" x14ac:dyDescent="0.25">
      <c r="A130" s="135"/>
      <c r="B130" s="146">
        <v>5</v>
      </c>
      <c r="C130" s="74"/>
      <c r="D130" s="74"/>
      <c r="E130" s="78" t="str">
        <f>IF(C130=0," ",IF(C130=0,0,501-D130))</f>
        <v xml:space="preserve"> </v>
      </c>
      <c r="F130" s="74"/>
      <c r="G130" s="74"/>
      <c r="H130" s="136"/>
      <c r="I130" s="143"/>
      <c r="J130" s="76"/>
      <c r="K130" s="146">
        <v>5</v>
      </c>
      <c r="L130" s="79"/>
      <c r="M130" s="79"/>
      <c r="N130" s="78" t="str">
        <f>IF(L130=0," ",IF(L130=0,0,501-M130))</f>
        <v xml:space="preserve"> </v>
      </c>
      <c r="O130" s="74"/>
      <c r="P130" s="352"/>
      <c r="Q130" s="417"/>
      <c r="R130" s="368"/>
      <c r="S130" s="35"/>
      <c r="U130" s="61"/>
      <c r="V130" s="200" t="str">
        <f>IF(AND(E130=501,N130=501),"TARKISTA JÄI-SARAKE"," ")</f>
        <v xml:space="preserve"> </v>
      </c>
      <c r="W130" s="198"/>
      <c r="X130" s="65"/>
      <c r="Y130" s="61"/>
      <c r="Z130" s="61"/>
      <c r="AA130" s="61"/>
      <c r="AB130" s="201" t="str">
        <f>IF(AND(C130=0,L130&gt;0),"toinen TIKAT-sarake tyhjä !",IF(AND(C130&gt;0,L130=0),"toinen TIKAT-sarake tyhjä !",""))</f>
        <v/>
      </c>
      <c r="AC130" s="61"/>
      <c r="AH130" s="61"/>
      <c r="AI130" s="61"/>
      <c r="AJ130" s="61"/>
      <c r="AK130" s="61"/>
      <c r="AL130" s="61"/>
      <c r="AM130" s="269"/>
      <c r="AN130" s="61"/>
      <c r="AO130" s="65"/>
      <c r="AP130" s="269"/>
      <c r="AQ130" s="61"/>
      <c r="AR130" s="61"/>
      <c r="AS130" s="61"/>
      <c r="AT130" s="61"/>
      <c r="AU130" s="61"/>
      <c r="AV130" s="202"/>
      <c r="AW130" s="202"/>
    </row>
    <row r="131" spans="1:49" s="61" customFormat="1" ht="27.75" customHeight="1" thickBot="1" x14ac:dyDescent="0.3">
      <c r="A131" s="137"/>
      <c r="C131" s="154">
        <f>COUNTIF(C126:C130,"&gt;0")</f>
        <v>4</v>
      </c>
      <c r="D131" s="154">
        <f>COUNTIF(D126:D130,"&gt;0")</f>
        <v>3</v>
      </c>
      <c r="E131" s="138"/>
      <c r="F131" s="138"/>
      <c r="G131" s="138"/>
      <c r="H131" s="141"/>
      <c r="I131" s="145"/>
      <c r="J131" s="140"/>
      <c r="K131" s="140"/>
      <c r="L131" s="154">
        <f>COUNTIF(L126:L130,"&gt;0")</f>
        <v>4</v>
      </c>
      <c r="M131" s="154">
        <f>COUNTIF(M126:M130,"&gt;0")</f>
        <v>1</v>
      </c>
      <c r="N131" s="138"/>
      <c r="O131" s="139"/>
      <c r="P131" s="139"/>
      <c r="Q131" s="418"/>
      <c r="R131" s="66"/>
      <c r="S131" s="60"/>
      <c r="T131" s="27"/>
      <c r="V131" s="202"/>
      <c r="AB131" s="202"/>
      <c r="AD131" s="27"/>
      <c r="AE131" s="27"/>
      <c r="AF131" s="27"/>
      <c r="AM131" s="269"/>
      <c r="AO131" s="65"/>
      <c r="AP131" s="269"/>
      <c r="AV131" s="202"/>
      <c r="AW131" s="202"/>
    </row>
    <row r="132" spans="1:49" s="61" customFormat="1" x14ac:dyDescent="0.25">
      <c r="A132" s="66"/>
      <c r="B132" s="374" t="s">
        <v>24</v>
      </c>
      <c r="C132" s="63"/>
      <c r="D132" s="63"/>
      <c r="E132" s="63"/>
      <c r="F132" s="63"/>
      <c r="G132" s="63"/>
      <c r="H132" s="63"/>
      <c r="I132" s="359"/>
      <c r="J132" s="359"/>
      <c r="K132" s="359"/>
      <c r="L132" s="359"/>
      <c r="M132" s="359"/>
      <c r="N132" s="63"/>
      <c r="O132" s="63"/>
      <c r="P132" s="63"/>
      <c r="Q132" s="63"/>
      <c r="R132" s="66"/>
      <c r="S132" s="60"/>
      <c r="T132" s="27"/>
      <c r="V132" s="202"/>
      <c r="AB132" s="202"/>
      <c r="AD132" s="27"/>
      <c r="AE132" s="27"/>
      <c r="AF132" s="27"/>
      <c r="AM132" s="269"/>
      <c r="AO132" s="65"/>
      <c r="AP132" s="269"/>
      <c r="AV132" s="202"/>
      <c r="AW132" s="202"/>
    </row>
    <row r="133" spans="1:49" s="61" customFormat="1" x14ac:dyDescent="0.25">
      <c r="A133" s="66"/>
      <c r="B133" s="63"/>
      <c r="C133" s="63"/>
      <c r="D133" s="63"/>
      <c r="E133" s="63"/>
      <c r="F133" s="63"/>
      <c r="G133" s="63"/>
      <c r="H133" s="63"/>
      <c r="I133" s="359"/>
      <c r="J133" s="359"/>
      <c r="K133" s="359"/>
      <c r="L133" s="359"/>
      <c r="M133" s="359"/>
      <c r="N133" s="63"/>
      <c r="O133" s="63"/>
      <c r="P133" s="63"/>
      <c r="Q133" s="63"/>
      <c r="R133" s="63"/>
      <c r="T133" s="27"/>
      <c r="V133" s="202"/>
      <c r="AB133" s="202"/>
      <c r="AD133" s="27"/>
      <c r="AE133" s="27"/>
      <c r="AF133" s="27"/>
      <c r="AM133" s="269"/>
      <c r="AO133" s="65"/>
      <c r="AP133" s="269"/>
      <c r="AV133" s="202"/>
      <c r="AW133" s="202"/>
    </row>
    <row r="134" spans="1:49" s="61" customFormat="1" x14ac:dyDescent="0.25">
      <c r="A134" s="66"/>
      <c r="B134" s="63"/>
      <c r="C134" s="63"/>
      <c r="D134" s="63"/>
      <c r="E134" s="63"/>
      <c r="F134" s="63"/>
      <c r="G134" s="63"/>
      <c r="H134" s="63"/>
      <c r="I134" s="359"/>
      <c r="J134" s="359"/>
      <c r="K134" s="359"/>
      <c r="L134" s="359"/>
      <c r="M134" s="359"/>
      <c r="N134" s="63"/>
      <c r="O134" s="63"/>
      <c r="P134" s="63"/>
      <c r="Q134" s="63"/>
      <c r="R134" s="63"/>
      <c r="T134" s="27"/>
      <c r="V134" s="202"/>
      <c r="AB134" s="202"/>
      <c r="AD134" s="27"/>
      <c r="AE134" s="27"/>
      <c r="AF134" s="27"/>
      <c r="AM134" s="269"/>
      <c r="AO134" s="65"/>
      <c r="AP134" s="269"/>
      <c r="AV134" s="202"/>
      <c r="AW134" s="202"/>
    </row>
    <row r="135" spans="1:49" s="61" customFormat="1" ht="16.5" thickBot="1" x14ac:dyDescent="0.3">
      <c r="A135" s="66"/>
      <c r="B135" s="63"/>
      <c r="C135" s="63"/>
      <c r="D135" s="63"/>
      <c r="E135" s="63"/>
      <c r="F135" s="63"/>
      <c r="G135" s="63"/>
      <c r="H135" s="63"/>
      <c r="I135" s="359"/>
      <c r="J135" s="359"/>
      <c r="K135" s="359"/>
      <c r="L135" s="359"/>
      <c r="M135" s="359"/>
      <c r="N135" s="63"/>
      <c r="O135" s="63"/>
      <c r="P135" s="63"/>
      <c r="Q135" s="63"/>
      <c r="R135" s="63"/>
      <c r="T135" s="27"/>
      <c r="V135" s="202"/>
      <c r="AB135" s="202"/>
      <c r="AD135" s="27"/>
      <c r="AE135" s="27"/>
      <c r="AF135" s="27"/>
      <c r="AM135" s="269"/>
      <c r="AO135" s="65"/>
      <c r="AP135" s="269"/>
      <c r="AV135" s="202"/>
      <c r="AW135" s="202"/>
    </row>
    <row r="136" spans="1:49" s="61" customFormat="1" ht="21.75" customHeight="1" x14ac:dyDescent="0.25">
      <c r="A136" s="376"/>
      <c r="B136" s="377" t="s">
        <v>0</v>
      </c>
      <c r="C136" s="499">
        <f>C27</f>
        <v>0</v>
      </c>
      <c r="D136" s="500"/>
      <c r="E136" s="500"/>
      <c r="F136" s="500"/>
      <c r="G136" s="500"/>
      <c r="H136" s="378">
        <f>IF(OR(H137="L",C136=0),0,1)</f>
        <v>0</v>
      </c>
      <c r="I136" s="379"/>
      <c r="J136" s="380"/>
      <c r="K136" s="381" t="s">
        <v>0</v>
      </c>
      <c r="L136" s="499">
        <f>J27</f>
        <v>0</v>
      </c>
      <c r="M136" s="500"/>
      <c r="N136" s="500"/>
      <c r="O136" s="500"/>
      <c r="P136" s="500"/>
      <c r="Q136" s="501"/>
      <c r="R136" s="501"/>
      <c r="S136" s="155">
        <f>IF(OR(I137="L",L136=0),0,1)</f>
        <v>0</v>
      </c>
      <c r="T136" s="27"/>
      <c r="V136" s="202"/>
      <c r="AB136" s="202"/>
      <c r="AD136" s="27"/>
      <c r="AE136" s="27"/>
      <c r="AF136" s="27"/>
      <c r="AM136" s="269"/>
      <c r="AO136" s="65"/>
      <c r="AP136" s="269"/>
      <c r="AV136" s="202"/>
      <c r="AW136" s="202"/>
    </row>
    <row r="137" spans="1:49" s="61" customFormat="1" x14ac:dyDescent="0.25">
      <c r="A137" s="383"/>
      <c r="B137" s="189"/>
      <c r="C137" s="189"/>
      <c r="D137" s="189"/>
      <c r="E137" s="189"/>
      <c r="F137" s="189"/>
      <c r="G137" s="189"/>
      <c r="H137" s="384"/>
      <c r="I137" s="506"/>
      <c r="J137" s="507"/>
      <c r="K137" s="385"/>
      <c r="L137" s="385"/>
      <c r="M137" s="385"/>
      <c r="N137" s="189"/>
      <c r="O137" s="189"/>
      <c r="P137" s="189"/>
      <c r="Q137" s="189"/>
      <c r="R137" s="189"/>
      <c r="S137" s="136"/>
      <c r="T137" s="27"/>
      <c r="V137" s="202"/>
      <c r="AB137" s="202"/>
      <c r="AD137" s="27"/>
      <c r="AE137" s="27"/>
      <c r="AF137" s="27"/>
      <c r="AM137" s="269"/>
      <c r="AO137" s="65"/>
      <c r="AP137" s="269"/>
      <c r="AV137" s="202"/>
      <c r="AW137" s="202"/>
    </row>
    <row r="138" spans="1:49" s="61" customFormat="1" x14ac:dyDescent="0.25">
      <c r="A138" s="383"/>
      <c r="B138" s="387" t="s">
        <v>1</v>
      </c>
      <c r="C138" s="363" t="s">
        <v>13</v>
      </c>
      <c r="D138" s="363" t="s">
        <v>14</v>
      </c>
      <c r="E138" s="388" t="s">
        <v>5</v>
      </c>
      <c r="F138" s="363" t="s">
        <v>15</v>
      </c>
      <c r="G138" s="363" t="s">
        <v>16</v>
      </c>
      <c r="H138" s="389"/>
      <c r="I138" s="390"/>
      <c r="J138" s="391"/>
      <c r="K138" s="387" t="s">
        <v>1</v>
      </c>
      <c r="L138" s="363" t="s">
        <v>13</v>
      </c>
      <c r="M138" s="363" t="s">
        <v>14</v>
      </c>
      <c r="N138" s="388" t="s">
        <v>5</v>
      </c>
      <c r="O138" s="502" t="s">
        <v>15</v>
      </c>
      <c r="P138" s="503"/>
      <c r="Q138" s="392"/>
      <c r="R138" s="363" t="s">
        <v>16</v>
      </c>
      <c r="S138" s="136"/>
      <c r="T138" s="27"/>
      <c r="V138" s="202"/>
      <c r="AB138" s="202"/>
      <c r="AD138" s="27"/>
      <c r="AE138" s="27"/>
      <c r="AF138" s="27"/>
      <c r="AM138" s="269"/>
      <c r="AO138" s="65"/>
      <c r="AP138" s="269"/>
      <c r="AV138" s="202"/>
      <c r="AW138" s="202"/>
    </row>
    <row r="139" spans="1:49" s="61" customFormat="1" ht="30.75" customHeight="1" x14ac:dyDescent="0.25">
      <c r="A139" s="383"/>
      <c r="B139" s="393">
        <v>1</v>
      </c>
      <c r="C139" s="394"/>
      <c r="D139" s="394"/>
      <c r="E139" s="365" t="str">
        <f>IF(C139=0," ",IF(C139=0,0,501-D139))</f>
        <v xml:space="preserve"> </v>
      </c>
      <c r="F139" s="394"/>
      <c r="G139" s="394"/>
      <c r="H139" s="396">
        <f>IF(AND(H136=1,S136=0),1,IF(COUNT(C139:C143)&gt;2,IF(COUNT(D139:D143)=3,0,1),0))</f>
        <v>0</v>
      </c>
      <c r="I139" s="422"/>
      <c r="J139" s="385"/>
      <c r="K139" s="393">
        <v>1</v>
      </c>
      <c r="L139" s="395"/>
      <c r="M139" s="395"/>
      <c r="N139" s="365" t="str">
        <f>IF(L139=0," ",IF(L139=0,0,501-M139))</f>
        <v xml:space="preserve"> </v>
      </c>
      <c r="O139" s="490"/>
      <c r="P139" s="491"/>
      <c r="Q139" s="492"/>
      <c r="R139" s="395"/>
      <c r="S139" s="136"/>
      <c r="T139" s="27"/>
      <c r="U139" s="75">
        <f>IF(AND(S136=1,H136=0),1,IF(COUNT(L139:L143)&gt;2,IF(COUNT(M139:M143)=3,0,1),0))</f>
        <v>0</v>
      </c>
      <c r="V139" s="200" t="str">
        <f>IF(AND(E139=501,N139=501),"TARKISTA JÄI-SARAKE"," ")</f>
        <v xml:space="preserve"> </v>
      </c>
      <c r="AB139" s="201" t="str">
        <f>IF(AND(C139=0,L139&gt;0),"toinen TIKAT-sarake tyhjä !",IF(AND(C139&gt;0,L139=0),"toinen TIKAT-sarake tyhjä !",""))</f>
        <v/>
      </c>
      <c r="AD139" s="27"/>
      <c r="AE139" s="27"/>
      <c r="AF139" s="27"/>
      <c r="AM139" s="269"/>
      <c r="AO139" s="65"/>
      <c r="AP139" s="269"/>
      <c r="AV139" s="202"/>
      <c r="AW139" s="202"/>
    </row>
    <row r="140" spans="1:49" s="61" customFormat="1" ht="30.75" customHeight="1" x14ac:dyDescent="0.25">
      <c r="A140" s="504" t="s">
        <v>11</v>
      </c>
      <c r="B140" s="393">
        <v>2</v>
      </c>
      <c r="C140" s="394"/>
      <c r="D140" s="394"/>
      <c r="E140" s="365" t="str">
        <f>IF(C140=0," ",IF(C140=0,0,501-D140))</f>
        <v xml:space="preserve"> </v>
      </c>
      <c r="F140" s="394"/>
      <c r="G140" s="394"/>
      <c r="H140" s="367"/>
      <c r="I140" s="422"/>
      <c r="J140" s="385"/>
      <c r="K140" s="393">
        <v>2</v>
      </c>
      <c r="L140" s="395"/>
      <c r="M140" s="395"/>
      <c r="N140" s="365" t="str">
        <f>IF(L140=0," ",IF(L140=0,0,501-M140))</f>
        <v xml:space="preserve"> </v>
      </c>
      <c r="O140" s="490"/>
      <c r="P140" s="491"/>
      <c r="Q140" s="492"/>
      <c r="R140" s="395"/>
      <c r="S140" s="136"/>
      <c r="T140" s="27"/>
      <c r="U140" s="27"/>
      <c r="V140" s="200" t="str">
        <f>IF(AND(E140=501,N140=501),"TARKISTA JÄI-SARAKE"," ")</f>
        <v xml:space="preserve"> </v>
      </c>
      <c r="W140" s="187"/>
      <c r="X140" s="188"/>
      <c r="Y140" s="27"/>
      <c r="Z140" s="27"/>
      <c r="AA140" s="27"/>
      <c r="AB140" s="201" t="str">
        <f>IF(AND(C140=0,L140&gt;0),"toinen TIKAT-sarake tyhjä !",IF(AND(C140&gt;0,L140=0),"toinen TIKAT-sarake tyhjä !",""))</f>
        <v/>
      </c>
      <c r="AC140" s="27"/>
      <c r="AD140" s="27"/>
      <c r="AE140" s="27"/>
      <c r="AF140" s="27"/>
      <c r="AM140" s="269"/>
      <c r="AO140" s="65"/>
      <c r="AP140" s="269"/>
      <c r="AV140" s="202"/>
      <c r="AW140" s="202"/>
    </row>
    <row r="141" spans="1:49" s="61" customFormat="1" ht="30.75" customHeight="1" x14ac:dyDescent="0.25">
      <c r="A141" s="505"/>
      <c r="B141" s="393">
        <v>3</v>
      </c>
      <c r="C141" s="394"/>
      <c r="D141" s="394"/>
      <c r="E141" s="365" t="str">
        <f>IF(C141=0," ",IF(C141=0,0,501-D141))</f>
        <v xml:space="preserve"> </v>
      </c>
      <c r="F141" s="394"/>
      <c r="G141" s="394"/>
      <c r="H141" s="367"/>
      <c r="I141" s="422"/>
      <c r="J141" s="385"/>
      <c r="K141" s="393">
        <v>3</v>
      </c>
      <c r="L141" s="395"/>
      <c r="M141" s="395"/>
      <c r="N141" s="365" t="str">
        <f>IF(L141=0," ",IF(L141=0,0,501-M141))</f>
        <v xml:space="preserve"> </v>
      </c>
      <c r="O141" s="490"/>
      <c r="P141" s="491"/>
      <c r="Q141" s="492"/>
      <c r="R141" s="395"/>
      <c r="S141" s="136"/>
      <c r="T141" s="27"/>
      <c r="U141" s="27"/>
      <c r="V141" s="200" t="str">
        <f>IF(AND(E141=501,N141=501),"TARKISTA JÄI-SARAKE"," ")</f>
        <v xml:space="preserve"> </v>
      </c>
      <c r="W141" s="187"/>
      <c r="X141" s="188"/>
      <c r="Y141" s="27"/>
      <c r="Z141" s="27"/>
      <c r="AA141" s="27"/>
      <c r="AB141" s="201" t="str">
        <f>IF(AND(C141=0,L141&gt;0),"toinen TIKAT-sarake tyhjä !",IF(AND(C141&gt;0,L141=0),"toinen TIKAT-sarake tyhjä !",""))</f>
        <v/>
      </c>
      <c r="AC141" s="27"/>
      <c r="AD141" s="27"/>
      <c r="AE141" s="27"/>
      <c r="AF141" s="27"/>
      <c r="AM141" s="269"/>
      <c r="AO141" s="65"/>
      <c r="AP141" s="269"/>
      <c r="AV141" s="202"/>
      <c r="AW141" s="202"/>
    </row>
    <row r="142" spans="1:49" s="61" customFormat="1" ht="30.75" customHeight="1" x14ac:dyDescent="0.25">
      <c r="A142" s="505"/>
      <c r="B142" s="393">
        <v>4</v>
      </c>
      <c r="C142" s="394"/>
      <c r="D142" s="394"/>
      <c r="E142" s="365" t="str">
        <f>IF(C142=0," ",IF(C142=0,0,501-D142))</f>
        <v xml:space="preserve"> </v>
      </c>
      <c r="F142" s="394"/>
      <c r="G142" s="394"/>
      <c r="H142" s="367"/>
      <c r="I142" s="422"/>
      <c r="J142" s="385"/>
      <c r="K142" s="393">
        <v>4</v>
      </c>
      <c r="L142" s="395"/>
      <c r="M142" s="395"/>
      <c r="N142" s="365" t="str">
        <f>IF(L142=0," ",IF(L142=0,0,501-M142))</f>
        <v xml:space="preserve"> </v>
      </c>
      <c r="O142" s="490"/>
      <c r="P142" s="491"/>
      <c r="Q142" s="492"/>
      <c r="R142" s="395"/>
      <c r="S142" s="136"/>
      <c r="T142" s="27"/>
      <c r="U142" s="27"/>
      <c r="V142" s="200" t="str">
        <f>IF(AND(E142=501,N142=501),"TARKISTA JÄI-SARAKE"," ")</f>
        <v xml:space="preserve"> </v>
      </c>
      <c r="W142" s="187"/>
      <c r="X142" s="188"/>
      <c r="Y142" s="27"/>
      <c r="Z142" s="27"/>
      <c r="AA142" s="27"/>
      <c r="AB142" s="201" t="str">
        <f>IF(AND(C142=0,L142&gt;0),"toinen TIKAT-sarake tyhjä !",IF(AND(C142&gt;0,L142=0),"toinen TIKAT-sarake tyhjä !",""))</f>
        <v/>
      </c>
      <c r="AC142" s="27"/>
      <c r="AD142" s="27"/>
      <c r="AE142" s="27"/>
      <c r="AF142" s="27"/>
      <c r="AM142" s="269"/>
      <c r="AO142" s="65"/>
      <c r="AP142" s="269"/>
      <c r="AV142" s="202"/>
      <c r="AW142" s="202"/>
    </row>
    <row r="143" spans="1:49" s="61" customFormat="1" ht="30.75" customHeight="1" x14ac:dyDescent="0.25">
      <c r="A143" s="383"/>
      <c r="B143" s="393">
        <v>5</v>
      </c>
      <c r="C143" s="394"/>
      <c r="D143" s="394"/>
      <c r="E143" s="365" t="str">
        <f>IF(C143=0," ",IF(C143=0,0,501-D143))</f>
        <v xml:space="preserve"> </v>
      </c>
      <c r="F143" s="394"/>
      <c r="G143" s="394"/>
      <c r="H143" s="367"/>
      <c r="I143" s="422"/>
      <c r="J143" s="385"/>
      <c r="K143" s="393">
        <v>5</v>
      </c>
      <c r="L143" s="395"/>
      <c r="M143" s="395"/>
      <c r="N143" s="365" t="str">
        <f>IF(L143=0," ",IF(L143=0,0,501-M143))</f>
        <v xml:space="preserve"> </v>
      </c>
      <c r="O143" s="490"/>
      <c r="P143" s="491"/>
      <c r="Q143" s="492"/>
      <c r="R143" s="395"/>
      <c r="S143" s="136"/>
      <c r="T143" s="27"/>
      <c r="U143" s="27"/>
      <c r="V143" s="200" t="str">
        <f>IF(AND(E143=501,N143=501),"TARKISTA JÄI-SARAKE"," ")</f>
        <v xml:space="preserve"> </v>
      </c>
      <c r="W143" s="187"/>
      <c r="X143" s="188"/>
      <c r="Y143" s="27"/>
      <c r="Z143" s="27"/>
      <c r="AA143" s="27"/>
      <c r="AB143" s="201" t="str">
        <f>IF(AND(C143=0,L143&gt;0),"toinen TIKAT-sarake tyhjä !",IF(AND(C143&gt;0,L143=0),"toinen TIKAT-sarake tyhjä !",""))</f>
        <v/>
      </c>
      <c r="AC143" s="27"/>
      <c r="AD143" s="27"/>
      <c r="AE143" s="27"/>
      <c r="AF143" s="27"/>
      <c r="AM143" s="269"/>
      <c r="AO143" s="65"/>
      <c r="AP143" s="269"/>
      <c r="AV143" s="202"/>
      <c r="AW143" s="202"/>
    </row>
    <row r="144" spans="1:49" s="61" customFormat="1" ht="16.5" thickBot="1" x14ac:dyDescent="0.3">
      <c r="A144" s="398"/>
      <c r="B144" s="369" t="s">
        <v>23</v>
      </c>
      <c r="C144" s="373">
        <f>COUNTIF(C139:C143,"&gt;0")</f>
        <v>0</v>
      </c>
      <c r="D144" s="373">
        <f>COUNTIF(D139:D143,"&gt;0")</f>
        <v>0</v>
      </c>
      <c r="E144" s="399"/>
      <c r="F144" s="399"/>
      <c r="G144" s="399"/>
      <c r="H144" s="400"/>
      <c r="I144" s="401"/>
      <c r="J144" s="402"/>
      <c r="K144" s="402"/>
      <c r="L144" s="373">
        <f>COUNTIF(L139:L143,"&gt;0")</f>
        <v>0</v>
      </c>
      <c r="M144" s="373">
        <f>COUNTIF(M139:M143,"&gt;0")</f>
        <v>0</v>
      </c>
      <c r="N144" s="399"/>
      <c r="O144" s="399"/>
      <c r="P144" s="399"/>
      <c r="Q144" s="399"/>
      <c r="R144" s="399"/>
      <c r="S144" s="141"/>
      <c r="T144" s="27"/>
      <c r="U144" s="27"/>
      <c r="V144" s="202"/>
      <c r="W144" s="27"/>
      <c r="X144" s="27"/>
      <c r="Y144" s="27"/>
      <c r="Z144" s="27"/>
      <c r="AA144" s="27"/>
      <c r="AB144" s="202"/>
      <c r="AC144" s="27"/>
      <c r="AD144" s="27"/>
      <c r="AE144" s="27"/>
      <c r="AF144" s="27"/>
      <c r="AM144" s="269"/>
      <c r="AO144" s="65"/>
      <c r="AP144" s="269"/>
      <c r="AV144" s="202"/>
      <c r="AW144" s="202"/>
    </row>
    <row r="145" spans="1:49" s="61" customFormat="1" x14ac:dyDescent="0.25">
      <c r="A145" s="66"/>
      <c r="B145" s="63"/>
      <c r="C145" s="63"/>
      <c r="D145" s="63"/>
      <c r="E145" s="63"/>
      <c r="F145" s="63"/>
      <c r="G145" s="63"/>
      <c r="H145" s="63"/>
      <c r="I145" s="359"/>
      <c r="J145" s="359"/>
      <c r="K145" s="359"/>
      <c r="L145" s="359"/>
      <c r="M145" s="359"/>
      <c r="N145" s="63"/>
      <c r="O145" s="63"/>
      <c r="P145" s="63"/>
      <c r="Q145" s="63"/>
      <c r="R145" s="63"/>
      <c r="T145" s="27"/>
      <c r="U145" s="27"/>
      <c r="V145" s="202"/>
      <c r="W145" s="27"/>
      <c r="X145" s="27"/>
      <c r="Y145" s="27"/>
      <c r="Z145" s="27"/>
      <c r="AA145" s="27"/>
      <c r="AB145" s="202"/>
      <c r="AC145" s="27"/>
      <c r="AD145" s="27"/>
      <c r="AE145" s="27"/>
      <c r="AF145" s="27"/>
      <c r="AM145" s="269"/>
      <c r="AO145" s="65"/>
      <c r="AP145" s="269"/>
      <c r="AV145" s="202"/>
      <c r="AW145" s="202"/>
    </row>
    <row r="146" spans="1:49" s="61" customFormat="1" x14ac:dyDescent="0.25">
      <c r="A146" s="66"/>
      <c r="B146" s="63"/>
      <c r="C146" s="63"/>
      <c r="D146" s="63"/>
      <c r="E146" s="63"/>
      <c r="F146" s="63"/>
      <c r="G146" s="63"/>
      <c r="H146" s="63"/>
      <c r="I146" s="359"/>
      <c r="J146" s="359"/>
      <c r="K146" s="359"/>
      <c r="L146" s="359"/>
      <c r="M146" s="359"/>
      <c r="N146" s="63"/>
      <c r="O146" s="63"/>
      <c r="P146" s="63"/>
      <c r="Q146" s="63"/>
      <c r="R146" s="63"/>
      <c r="T146" s="27"/>
      <c r="U146" s="27"/>
      <c r="V146" s="202"/>
      <c r="W146" s="27"/>
      <c r="X146" s="27"/>
      <c r="Y146" s="27"/>
      <c r="Z146" s="27"/>
      <c r="AA146" s="27"/>
      <c r="AB146" s="202"/>
      <c r="AC146" s="27"/>
      <c r="AD146" s="27"/>
      <c r="AE146" s="27"/>
      <c r="AF146" s="27"/>
      <c r="AM146" s="269"/>
      <c r="AO146" s="65"/>
      <c r="AP146" s="269"/>
      <c r="AV146" s="202"/>
      <c r="AW146" s="202"/>
    </row>
    <row r="147" spans="1:49" s="27" customFormat="1" ht="123.75" customHeight="1" x14ac:dyDescent="0.25">
      <c r="A147" s="423" t="s">
        <v>48</v>
      </c>
      <c r="B147" s="424"/>
      <c r="C147" s="424"/>
      <c r="D147" s="196" t="s">
        <v>13</v>
      </c>
      <c r="E147" s="196" t="s">
        <v>40</v>
      </c>
      <c r="F147" s="196" t="s">
        <v>37</v>
      </c>
      <c r="G147" s="196" t="s">
        <v>14</v>
      </c>
      <c r="H147" s="196" t="s">
        <v>5</v>
      </c>
      <c r="I147" s="196"/>
      <c r="J147" s="196" t="s">
        <v>39</v>
      </c>
      <c r="K147" s="196" t="s">
        <v>38</v>
      </c>
      <c r="L147" s="196" t="s">
        <v>25</v>
      </c>
      <c r="M147" s="196" t="s">
        <v>26</v>
      </c>
      <c r="N147" s="196" t="s">
        <v>27</v>
      </c>
      <c r="O147" s="196" t="s">
        <v>28</v>
      </c>
      <c r="P147" s="196"/>
      <c r="Q147" s="197"/>
      <c r="R147" s="163"/>
      <c r="S147" s="163"/>
      <c r="T147" s="87"/>
      <c r="U147" s="87"/>
      <c r="V147" s="204"/>
      <c r="AH147" s="61"/>
      <c r="AI147" s="61"/>
      <c r="AJ147" s="61"/>
      <c r="AK147" s="61"/>
      <c r="AL147" s="61"/>
      <c r="AM147" s="269"/>
      <c r="AN147" s="61"/>
      <c r="AO147" s="65"/>
      <c r="AP147" s="269"/>
      <c r="AQ147" s="61"/>
      <c r="AR147" s="61"/>
      <c r="AS147" s="61"/>
      <c r="AT147" s="61"/>
      <c r="AU147" s="61"/>
      <c r="AV147" s="202"/>
      <c r="AW147" s="202"/>
    </row>
    <row r="148" spans="1:49" s="27" customFormat="1" ht="24.75" customHeight="1" x14ac:dyDescent="0.25">
      <c r="A148" s="570" t="str">
        <f>C13</f>
        <v>Nevalainen Ari</v>
      </c>
      <c r="B148" s="571"/>
      <c r="C148" s="571"/>
      <c r="D148" s="194">
        <f>SUM(C56:C60,C106:C110)</f>
        <v>211</v>
      </c>
      <c r="E148" s="194">
        <f>SUM(C61,C111)</f>
        <v>8</v>
      </c>
      <c r="F148" s="194">
        <f>SUM(D61,D111)</f>
        <v>2</v>
      </c>
      <c r="G148" s="194">
        <f>SUM(D56:D60,D106:D110)</f>
        <v>35</v>
      </c>
      <c r="H148" s="572">
        <f>SUM(E56:E60,E106:E110)</f>
        <v>3973</v>
      </c>
      <c r="I148" s="572"/>
      <c r="J148" s="194">
        <f>SUM(H56,H106)</f>
        <v>2</v>
      </c>
      <c r="K148" s="194">
        <f>E148-F148</f>
        <v>6</v>
      </c>
      <c r="L148" s="194">
        <f>SUM(F56:F60,F106:F110)</f>
        <v>6</v>
      </c>
      <c r="M148" s="194">
        <f>SUM(G56:G60,G106:G110)</f>
        <v>0</v>
      </c>
      <c r="N148" s="195">
        <f>H148/D148</f>
        <v>18.829383886255926</v>
      </c>
      <c r="O148" s="573">
        <f>(L148+M148)/E148</f>
        <v>0.75</v>
      </c>
      <c r="P148" s="573"/>
      <c r="Q148" s="573"/>
      <c r="R148" s="193"/>
      <c r="S148" s="87"/>
      <c r="T148" s="87"/>
      <c r="U148" s="87"/>
      <c r="V148" s="204"/>
      <c r="AH148" s="61"/>
      <c r="AI148" s="61"/>
      <c r="AJ148" s="61"/>
      <c r="AK148" s="61"/>
      <c r="AL148" s="61"/>
      <c r="AM148" s="269"/>
      <c r="AN148" s="61"/>
      <c r="AO148" s="65"/>
      <c r="AP148" s="269"/>
      <c r="AQ148" s="61"/>
      <c r="AR148" s="61"/>
      <c r="AS148" s="61"/>
      <c r="AT148" s="61"/>
      <c r="AU148" s="61"/>
      <c r="AV148" s="202"/>
      <c r="AW148" s="202"/>
    </row>
    <row r="149" spans="1:49" s="27" customFormat="1" ht="24.75" customHeight="1" x14ac:dyDescent="0.25">
      <c r="A149" s="570" t="str">
        <f>C14</f>
        <v>Partanen Jarkko</v>
      </c>
      <c r="B149" s="571"/>
      <c r="C149" s="571"/>
      <c r="D149" s="194">
        <f>SUM(C66:C70,C96:C100)</f>
        <v>177</v>
      </c>
      <c r="E149" s="194">
        <f>SUM(C71,C101)</f>
        <v>6</v>
      </c>
      <c r="F149" s="194">
        <f>SUM(D71,D101)</f>
        <v>6</v>
      </c>
      <c r="G149" s="194">
        <f>SUM(D66:D70,D96:D100)</f>
        <v>574</v>
      </c>
      <c r="H149" s="572">
        <f>SUM(E66:E70,E96:E100)</f>
        <v>2432</v>
      </c>
      <c r="I149" s="572"/>
      <c r="J149" s="194">
        <f>SUM(H66,H96)</f>
        <v>0</v>
      </c>
      <c r="K149" s="194">
        <f t="shared" ref="K149:K155" si="4">E149-F149</f>
        <v>0</v>
      </c>
      <c r="L149" s="194">
        <f>SUM(F66:F70,F96:F100)</f>
        <v>1</v>
      </c>
      <c r="M149" s="194">
        <f>SUM(G66:G70,G96:G100)</f>
        <v>0</v>
      </c>
      <c r="N149" s="195">
        <f t="shared" ref="N149:N155" si="5">H149/D149</f>
        <v>13.740112994350282</v>
      </c>
      <c r="O149" s="573">
        <f t="shared" ref="O149:O155" si="6">(L149+M149)/E149</f>
        <v>0.16666666666666666</v>
      </c>
      <c r="P149" s="573"/>
      <c r="Q149" s="573"/>
      <c r="R149" s="193"/>
      <c r="S149" s="87"/>
      <c r="T149" s="87"/>
      <c r="U149" s="163"/>
      <c r="V149" s="204"/>
      <c r="AH149" s="61"/>
      <c r="AI149" s="61"/>
      <c r="AJ149" s="61"/>
      <c r="AK149" s="61"/>
      <c r="AL149" s="61"/>
      <c r="AM149" s="269"/>
      <c r="AN149" s="61"/>
      <c r="AO149" s="65"/>
      <c r="AP149" s="269"/>
      <c r="AQ149" s="61"/>
      <c r="AR149" s="61"/>
      <c r="AS149" s="61"/>
      <c r="AT149" s="61"/>
      <c r="AU149" s="61"/>
      <c r="AV149" s="202"/>
      <c r="AW149" s="202"/>
    </row>
    <row r="150" spans="1:49" s="27" customFormat="1" ht="24.75" customHeight="1" x14ac:dyDescent="0.25">
      <c r="A150" s="570" t="str">
        <f>C15</f>
        <v>Mantila Petri</v>
      </c>
      <c r="B150" s="571"/>
      <c r="C150" s="571"/>
      <c r="D150" s="194">
        <f>SUM(C76:C80,C126:C130)</f>
        <v>290</v>
      </c>
      <c r="E150" s="194">
        <f>SUM(C81,C131)</f>
        <v>8</v>
      </c>
      <c r="F150" s="194">
        <f>SUM(D81,D131)</f>
        <v>6</v>
      </c>
      <c r="G150" s="194">
        <f>SUM(D76:D80,D126:D130)</f>
        <v>265</v>
      </c>
      <c r="H150" s="572">
        <f>SUM(E76:E80,E126:E130)</f>
        <v>3743</v>
      </c>
      <c r="I150" s="572"/>
      <c r="J150" s="194">
        <f>SUM(H76,H126)</f>
        <v>0</v>
      </c>
      <c r="K150" s="194">
        <f t="shared" si="4"/>
        <v>2</v>
      </c>
      <c r="L150" s="194">
        <f>SUM(F76:F80,F126:F130)</f>
        <v>7</v>
      </c>
      <c r="M150" s="194">
        <f>SUM(G76:G80,G126:G130)</f>
        <v>1</v>
      </c>
      <c r="N150" s="195">
        <f t="shared" si="5"/>
        <v>12.906896551724138</v>
      </c>
      <c r="O150" s="573">
        <f t="shared" si="6"/>
        <v>1</v>
      </c>
      <c r="P150" s="573"/>
      <c r="Q150" s="573"/>
      <c r="R150" s="193"/>
      <c r="S150" s="87"/>
      <c r="T150" s="87"/>
      <c r="U150" s="163"/>
      <c r="V150" s="204"/>
      <c r="AH150" s="61"/>
      <c r="AI150" s="61"/>
      <c r="AJ150" s="61"/>
      <c r="AK150" s="61"/>
      <c r="AL150" s="61"/>
      <c r="AM150" s="269"/>
      <c r="AN150" s="61"/>
      <c r="AO150" s="65"/>
      <c r="AP150" s="269"/>
      <c r="AQ150" s="61"/>
      <c r="AR150" s="61"/>
      <c r="AS150" s="61"/>
      <c r="AT150" s="61"/>
      <c r="AU150" s="61"/>
      <c r="AV150" s="202"/>
      <c r="AW150" s="202"/>
    </row>
    <row r="151" spans="1:49" s="27" customFormat="1" ht="24.75" customHeight="1" x14ac:dyDescent="0.25">
      <c r="A151" s="570" t="str">
        <f>C16</f>
        <v>Lokkinen Marko</v>
      </c>
      <c r="B151" s="571"/>
      <c r="C151" s="571"/>
      <c r="D151" s="194">
        <f>SUM(C86:C90,C116:C120)</f>
        <v>283</v>
      </c>
      <c r="E151" s="194">
        <f>SUM(C91,C121)</f>
        <v>9</v>
      </c>
      <c r="F151" s="194">
        <f>SUM(D91,D121)</f>
        <v>6</v>
      </c>
      <c r="G151" s="194">
        <f>SUM(D86:D90,D116:D120)</f>
        <v>468</v>
      </c>
      <c r="H151" s="572">
        <f>SUM(E86:E90,E116:E120)</f>
        <v>4041</v>
      </c>
      <c r="I151" s="572"/>
      <c r="J151" s="194">
        <f>SUM(H86,H116)</f>
        <v>0</v>
      </c>
      <c r="K151" s="194">
        <f t="shared" si="4"/>
        <v>3</v>
      </c>
      <c r="L151" s="194">
        <f>SUM(F86:F90,F116:F120)</f>
        <v>4</v>
      </c>
      <c r="M151" s="194">
        <f>SUM(G86:G90,G116:G120)</f>
        <v>0</v>
      </c>
      <c r="N151" s="195">
        <f t="shared" si="5"/>
        <v>14.279151943462898</v>
      </c>
      <c r="O151" s="573">
        <f t="shared" si="6"/>
        <v>0.44444444444444442</v>
      </c>
      <c r="P151" s="573"/>
      <c r="Q151" s="573"/>
      <c r="R151" s="193"/>
      <c r="S151" s="87"/>
      <c r="T151" s="87"/>
      <c r="U151" s="163"/>
      <c r="V151" s="204"/>
      <c r="AH151" s="61"/>
      <c r="AI151" s="61"/>
      <c r="AJ151" s="61"/>
      <c r="AK151" s="61"/>
      <c r="AL151" s="61"/>
      <c r="AM151" s="269"/>
      <c r="AN151" s="61"/>
      <c r="AO151" s="65"/>
      <c r="AP151" s="269"/>
      <c r="AQ151" s="61"/>
      <c r="AR151" s="61"/>
      <c r="AS151" s="61"/>
      <c r="AT151" s="61"/>
      <c r="AU151" s="61"/>
      <c r="AV151" s="202"/>
      <c r="AW151" s="202"/>
    </row>
    <row r="152" spans="1:49" s="27" customFormat="1" ht="24.75" customHeight="1" x14ac:dyDescent="0.25">
      <c r="A152" s="570" t="str">
        <f>P13</f>
        <v>Lindholm Tobias</v>
      </c>
      <c r="B152" s="571"/>
      <c r="C152" s="571"/>
      <c r="D152" s="194">
        <f>SUM(L76:L80,L116:L120)</f>
        <v>244</v>
      </c>
      <c r="E152" s="194">
        <f>SUM(L81,L121)</f>
        <v>8</v>
      </c>
      <c r="F152" s="194">
        <f>SUM(M81,M121)</f>
        <v>2</v>
      </c>
      <c r="G152" s="194">
        <f>SUM(M76:M80,M116:M120)</f>
        <v>70</v>
      </c>
      <c r="H152" s="572">
        <f>SUM(N76:N80,N116:N120)</f>
        <v>3938</v>
      </c>
      <c r="I152" s="572"/>
      <c r="J152" s="194">
        <f>SUM(U76,U116)</f>
        <v>2</v>
      </c>
      <c r="K152" s="194">
        <f t="shared" si="4"/>
        <v>6</v>
      </c>
      <c r="L152" s="194">
        <f>SUM(O76:O80,O116:O120)</f>
        <v>8</v>
      </c>
      <c r="M152" s="194">
        <f>SUM(P76:P80,P116:P120)</f>
        <v>0</v>
      </c>
      <c r="N152" s="195">
        <f t="shared" si="5"/>
        <v>16.139344262295083</v>
      </c>
      <c r="O152" s="573">
        <f t="shared" si="6"/>
        <v>1</v>
      </c>
      <c r="P152" s="573"/>
      <c r="Q152" s="573"/>
      <c r="R152" s="193"/>
      <c r="S152" s="87"/>
      <c r="T152" s="87"/>
      <c r="U152" s="163"/>
      <c r="V152" s="204"/>
      <c r="AH152" s="61"/>
      <c r="AI152" s="61"/>
      <c r="AJ152" s="61"/>
      <c r="AK152" s="61"/>
      <c r="AL152" s="61"/>
      <c r="AM152" s="269"/>
      <c r="AN152" s="61"/>
      <c r="AO152" s="65"/>
      <c r="AP152" s="269"/>
      <c r="AQ152" s="61"/>
      <c r="AR152" s="61"/>
      <c r="AS152" s="61"/>
      <c r="AT152" s="61"/>
      <c r="AU152" s="61"/>
      <c r="AV152" s="202"/>
      <c r="AW152" s="202"/>
    </row>
    <row r="153" spans="1:49" s="27" customFormat="1" ht="24.75" customHeight="1" x14ac:dyDescent="0.25">
      <c r="A153" s="570" t="str">
        <f>P14</f>
        <v>Holmström Bjarne</v>
      </c>
      <c r="B153" s="571"/>
      <c r="C153" s="571"/>
      <c r="D153" s="194">
        <f>SUM(L86:L90,L126:L130)</f>
        <v>337</v>
      </c>
      <c r="E153" s="194">
        <f>SUM(L91,L131)</f>
        <v>9</v>
      </c>
      <c r="F153" s="194">
        <f>SUM(M91,M131)</f>
        <v>3</v>
      </c>
      <c r="G153" s="194">
        <f>SUM(M86:M90,M126:M130)</f>
        <v>158</v>
      </c>
      <c r="H153" s="572">
        <f>SUM(N86:N90,N126:N130)</f>
        <v>4351</v>
      </c>
      <c r="I153" s="572"/>
      <c r="J153" s="194">
        <f>SUM(U86,U126)</f>
        <v>2</v>
      </c>
      <c r="K153" s="194">
        <f t="shared" si="4"/>
        <v>6</v>
      </c>
      <c r="L153" s="194">
        <f>SUM(O86:O90,O126:O130)</f>
        <v>3</v>
      </c>
      <c r="M153" s="194">
        <f>SUM(P86:P90,P126:P130)</f>
        <v>0</v>
      </c>
      <c r="N153" s="195">
        <f t="shared" si="5"/>
        <v>12.910979228486648</v>
      </c>
      <c r="O153" s="573">
        <f t="shared" si="6"/>
        <v>0.33333333333333331</v>
      </c>
      <c r="P153" s="573"/>
      <c r="Q153" s="573"/>
      <c r="R153" s="193"/>
      <c r="S153" s="87"/>
      <c r="T153" s="87"/>
      <c r="U153" s="163"/>
      <c r="V153" s="204"/>
      <c r="AH153" s="61"/>
      <c r="AI153" s="61"/>
      <c r="AJ153" s="61"/>
      <c r="AK153" s="61"/>
      <c r="AL153" s="61"/>
      <c r="AM153" s="269"/>
      <c r="AN153" s="61"/>
      <c r="AO153" s="65"/>
      <c r="AP153" s="269"/>
      <c r="AQ153" s="61"/>
      <c r="AR153" s="61"/>
      <c r="AS153" s="61"/>
      <c r="AT153" s="61"/>
      <c r="AU153" s="61"/>
      <c r="AV153" s="202"/>
      <c r="AW153" s="202"/>
    </row>
    <row r="154" spans="1:49" s="27" customFormat="1" ht="24.75" customHeight="1" x14ac:dyDescent="0.25">
      <c r="A154" s="570" t="str">
        <f>P15</f>
        <v>Aho Jarno</v>
      </c>
      <c r="B154" s="571"/>
      <c r="C154" s="571"/>
      <c r="D154" s="194">
        <f>SUM(L56:L60,L96:L100)</f>
        <v>160</v>
      </c>
      <c r="E154" s="194">
        <f>SUM(L61,L101)</f>
        <v>6</v>
      </c>
      <c r="F154" s="194">
        <f>SUM(M61,M101)</f>
        <v>3</v>
      </c>
      <c r="G154" s="194">
        <f>SUM(M56:M60,M96:M100)</f>
        <v>442</v>
      </c>
      <c r="H154" s="572">
        <f>SUM(N56:N60,N96:N100)</f>
        <v>2564</v>
      </c>
      <c r="I154" s="572"/>
      <c r="J154" s="194">
        <f>SUM(U56,U96)</f>
        <v>1</v>
      </c>
      <c r="K154" s="194">
        <f t="shared" si="4"/>
        <v>3</v>
      </c>
      <c r="L154" s="194">
        <f>SUM(O56:O60,O96:O100)</f>
        <v>3</v>
      </c>
      <c r="M154" s="194">
        <f>SUM(P56:P60,P96:P100)</f>
        <v>0</v>
      </c>
      <c r="N154" s="195">
        <f t="shared" si="5"/>
        <v>16.024999999999999</v>
      </c>
      <c r="O154" s="573">
        <f t="shared" si="6"/>
        <v>0.5</v>
      </c>
      <c r="P154" s="573"/>
      <c r="Q154" s="573"/>
      <c r="R154" s="193"/>
      <c r="S154" s="87"/>
      <c r="T154" s="87"/>
      <c r="U154" s="163"/>
      <c r="V154" s="204"/>
      <c r="Y154" s="35"/>
      <c r="Z154" s="35"/>
      <c r="AA154" s="35"/>
      <c r="AB154" s="35"/>
      <c r="AC154" s="35"/>
      <c r="AD154" s="35"/>
      <c r="AE154" s="35"/>
      <c r="AF154" s="35"/>
      <c r="AG154" s="35"/>
      <c r="AH154" s="61"/>
      <c r="AI154" s="61"/>
      <c r="AJ154" s="61"/>
      <c r="AK154" s="61"/>
      <c r="AL154" s="61"/>
      <c r="AM154" s="269"/>
      <c r="AN154" s="61"/>
      <c r="AO154" s="65"/>
      <c r="AP154" s="269"/>
      <c r="AQ154" s="61"/>
      <c r="AR154" s="61"/>
      <c r="AS154" s="61"/>
      <c r="AT154" s="61"/>
      <c r="AU154" s="61"/>
      <c r="AV154" s="202"/>
      <c r="AW154" s="202"/>
    </row>
    <row r="155" spans="1:49" s="27" customFormat="1" ht="24.75" customHeight="1" x14ac:dyDescent="0.25">
      <c r="A155" s="570" t="str">
        <f>P16</f>
        <v>Nyholm Mikael</v>
      </c>
      <c r="B155" s="571"/>
      <c r="C155" s="571"/>
      <c r="D155" s="194">
        <f>SUM(L66:L70,L106:L110)</f>
        <v>229</v>
      </c>
      <c r="E155" s="194">
        <f>SUM(L71,L111)</f>
        <v>8</v>
      </c>
      <c r="F155" s="194">
        <f>SUM(M71,M111)</f>
        <v>3</v>
      </c>
      <c r="G155" s="194">
        <f>SUM(M66:M70,M106:M110)</f>
        <v>70</v>
      </c>
      <c r="H155" s="572">
        <f>SUM(N66:N70,N106:N110)</f>
        <v>3938</v>
      </c>
      <c r="I155" s="572"/>
      <c r="J155" s="194">
        <f>SUM(U66,U106)</f>
        <v>1</v>
      </c>
      <c r="K155" s="194">
        <f t="shared" si="4"/>
        <v>5</v>
      </c>
      <c r="L155" s="194">
        <f>SUM(O66:O70,O106:O110)</f>
        <v>4</v>
      </c>
      <c r="M155" s="194">
        <f>SUM(P66:P70,P106:P110)</f>
        <v>0</v>
      </c>
      <c r="N155" s="195">
        <f t="shared" si="5"/>
        <v>17.196506550218341</v>
      </c>
      <c r="O155" s="573">
        <f t="shared" si="6"/>
        <v>0.5</v>
      </c>
      <c r="P155" s="573"/>
      <c r="Q155" s="573"/>
      <c r="R155" s="193"/>
      <c r="S155" s="87"/>
      <c r="T155" s="87"/>
      <c r="U155" s="163"/>
      <c r="V155" s="204"/>
      <c r="Y155" s="35"/>
      <c r="Z155" s="35"/>
      <c r="AA155" s="35"/>
      <c r="AB155" s="35"/>
      <c r="AC155" s="35"/>
      <c r="AD155" s="35"/>
      <c r="AE155" s="35"/>
      <c r="AF155" s="35"/>
      <c r="AG155" s="35"/>
      <c r="AH155" s="61"/>
      <c r="AI155" s="61"/>
      <c r="AJ155" s="61"/>
      <c r="AK155" s="61"/>
      <c r="AL155" s="61"/>
      <c r="AM155" s="269"/>
      <c r="AN155" s="61"/>
      <c r="AO155" s="65"/>
      <c r="AP155" s="269"/>
      <c r="AQ155" s="61"/>
      <c r="AR155" s="61"/>
      <c r="AS155" s="61"/>
      <c r="AT155" s="61"/>
      <c r="AU155" s="61"/>
      <c r="AV155" s="202"/>
      <c r="AW155" s="202"/>
    </row>
    <row r="156" spans="1:49" s="27" customFormat="1" x14ac:dyDescent="0.25">
      <c r="A156" s="163"/>
      <c r="B156" s="163"/>
      <c r="C156" s="163"/>
      <c r="D156" s="164"/>
      <c r="E156" s="163"/>
      <c r="F156" s="163"/>
      <c r="G156" s="163"/>
      <c r="H156" s="163"/>
      <c r="I156" s="165"/>
      <c r="J156" s="165"/>
      <c r="K156" s="165"/>
      <c r="L156" s="165"/>
      <c r="M156" s="165"/>
      <c r="N156" s="163"/>
      <c r="O156" s="163"/>
      <c r="P156" s="163"/>
      <c r="Q156" s="163"/>
      <c r="R156" s="163"/>
      <c r="S156" s="163"/>
      <c r="T156" s="163"/>
      <c r="U156" s="163"/>
      <c r="V156" s="204"/>
      <c r="Y156" s="35"/>
      <c r="Z156" s="35"/>
      <c r="AA156" s="113"/>
      <c r="AB156" s="35"/>
      <c r="AC156" s="35"/>
      <c r="AD156" s="35"/>
      <c r="AE156" s="35"/>
      <c r="AF156" s="35"/>
      <c r="AG156" s="35"/>
      <c r="AH156" s="61"/>
      <c r="AI156" s="61"/>
      <c r="AJ156" s="61"/>
      <c r="AK156" s="61"/>
      <c r="AL156" s="61"/>
      <c r="AM156" s="269"/>
      <c r="AN156" s="61"/>
      <c r="AO156" s="65"/>
      <c r="AP156" s="269"/>
      <c r="AQ156" s="61"/>
      <c r="AR156" s="61"/>
      <c r="AS156" s="61"/>
      <c r="AT156" s="61"/>
      <c r="AU156" s="61"/>
      <c r="AV156" s="202"/>
      <c r="AW156" s="202"/>
    </row>
    <row r="157" spans="1:49" s="61" customFormat="1" x14ac:dyDescent="0.25">
      <c r="A157" s="163"/>
      <c r="B157" s="163"/>
      <c r="C157" s="163"/>
      <c r="D157" s="163"/>
      <c r="E157" s="163"/>
      <c r="F157" s="163"/>
      <c r="G157" s="163"/>
      <c r="H157" s="163"/>
      <c r="I157" s="165"/>
      <c r="J157" s="165"/>
      <c r="K157" s="165"/>
      <c r="L157" s="165"/>
      <c r="M157" s="165"/>
      <c r="N157" s="163"/>
      <c r="O157" s="163"/>
      <c r="P157" s="163"/>
      <c r="Q157" s="163"/>
      <c r="R157" s="163"/>
      <c r="S157" s="163"/>
      <c r="T157" s="163"/>
      <c r="U157" s="163"/>
      <c r="V157" s="163"/>
      <c r="Y157" s="60"/>
      <c r="Z157" s="60"/>
      <c r="AA157" s="113"/>
      <c r="AB157" s="60"/>
      <c r="AC157" s="60"/>
      <c r="AD157" s="60"/>
      <c r="AE157" s="60"/>
      <c r="AF157" s="60"/>
      <c r="AG157" s="60"/>
      <c r="AM157" s="269"/>
      <c r="AO157" s="65"/>
      <c r="AP157" s="269"/>
      <c r="AV157" s="202"/>
      <c r="AW157" s="202"/>
    </row>
    <row r="158" spans="1:49" s="61" customFormat="1" x14ac:dyDescent="0.25">
      <c r="A158" s="163"/>
      <c r="B158" s="163"/>
      <c r="C158" s="163"/>
      <c r="D158" s="163"/>
      <c r="E158" s="163"/>
      <c r="F158" s="163"/>
      <c r="G158" s="163"/>
      <c r="H158" s="163"/>
      <c r="I158" s="165"/>
      <c r="J158" s="165"/>
      <c r="K158" s="165"/>
      <c r="L158" s="165"/>
      <c r="M158" s="165"/>
      <c r="N158" s="163"/>
      <c r="O158" s="163"/>
      <c r="P158" s="163"/>
      <c r="Q158" s="163"/>
      <c r="R158" s="163"/>
      <c r="S158" s="163"/>
      <c r="T158" s="163"/>
      <c r="U158" s="163"/>
      <c r="V158" s="163"/>
      <c r="Y158" s="60"/>
      <c r="Z158" s="60"/>
      <c r="AA158" s="113"/>
      <c r="AB158" s="60"/>
      <c r="AC158" s="60"/>
      <c r="AD158" s="60"/>
      <c r="AE158" s="60"/>
      <c r="AF158" s="60"/>
      <c r="AG158" s="60"/>
      <c r="AM158" s="269"/>
      <c r="AO158" s="65"/>
      <c r="AP158" s="269"/>
      <c r="AV158" s="202"/>
      <c r="AW158" s="202"/>
    </row>
    <row r="159" spans="1:49" s="61" customFormat="1" x14ac:dyDescent="0.25">
      <c r="A159" s="163"/>
      <c r="B159" s="163"/>
      <c r="C159" s="163"/>
      <c r="D159" s="163"/>
      <c r="E159" s="163"/>
      <c r="F159" s="163"/>
      <c r="G159" s="163"/>
      <c r="H159" s="163"/>
      <c r="I159" s="165"/>
      <c r="J159" s="165"/>
      <c r="K159" s="165"/>
      <c r="L159" s="165"/>
      <c r="M159" s="165"/>
      <c r="N159" s="163"/>
      <c r="O159" s="163"/>
      <c r="P159" s="163"/>
      <c r="Q159" s="163"/>
      <c r="R159" s="163"/>
      <c r="S159" s="163"/>
      <c r="T159" s="163"/>
      <c r="U159" s="163"/>
      <c r="V159" s="163"/>
      <c r="Y159" s="60"/>
      <c r="Z159" s="60"/>
      <c r="AA159" s="113"/>
      <c r="AB159" s="60"/>
      <c r="AC159" s="60"/>
      <c r="AD159" s="60"/>
      <c r="AE159" s="60"/>
      <c r="AF159" s="60"/>
      <c r="AG159" s="60"/>
      <c r="AM159" s="269"/>
      <c r="AO159" s="65"/>
      <c r="AP159" s="269"/>
      <c r="AV159" s="202"/>
      <c r="AW159" s="202"/>
    </row>
    <row r="160" spans="1:49" s="61" customFormat="1" x14ac:dyDescent="0.25">
      <c r="A160" s="60"/>
      <c r="I160" s="68"/>
      <c r="J160" s="68"/>
      <c r="K160" s="68"/>
      <c r="L160" s="68"/>
      <c r="M160" s="68"/>
      <c r="Y160" s="60"/>
      <c r="Z160" s="60"/>
      <c r="AA160" s="113"/>
      <c r="AB160" s="60"/>
      <c r="AC160" s="60"/>
      <c r="AD160" s="60"/>
      <c r="AE160" s="60"/>
      <c r="AF160" s="60"/>
      <c r="AG160" s="60"/>
      <c r="AM160" s="269"/>
      <c r="AO160" s="65"/>
      <c r="AP160" s="269"/>
      <c r="AV160" s="202"/>
      <c r="AW160" s="202"/>
    </row>
    <row r="161" spans="1:49" s="61" customFormat="1" x14ac:dyDescent="0.25">
      <c r="A161" s="60"/>
      <c r="I161" s="68"/>
      <c r="J161" s="68"/>
      <c r="K161" s="68"/>
      <c r="L161" s="68"/>
      <c r="M161" s="68"/>
      <c r="Y161" s="60"/>
      <c r="Z161" s="60"/>
      <c r="AA161" s="113"/>
      <c r="AB161" s="60"/>
      <c r="AC161" s="60"/>
      <c r="AD161" s="60"/>
      <c r="AE161" s="60"/>
      <c r="AF161" s="60"/>
      <c r="AG161" s="60"/>
      <c r="AM161" s="269"/>
      <c r="AO161" s="65"/>
      <c r="AP161" s="269"/>
      <c r="AV161" s="202"/>
      <c r="AW161" s="202"/>
    </row>
    <row r="162" spans="1:49" s="61" customFormat="1" x14ac:dyDescent="0.25">
      <c r="A162" s="60"/>
      <c r="I162" s="68"/>
      <c r="J162" s="68"/>
      <c r="K162" s="68"/>
      <c r="L162" s="68"/>
      <c r="M162" s="68"/>
      <c r="Y162" s="60"/>
      <c r="Z162" s="60"/>
      <c r="AA162" s="113"/>
      <c r="AB162" s="60"/>
      <c r="AC162" s="60"/>
      <c r="AD162" s="60"/>
      <c r="AE162" s="60"/>
      <c r="AF162" s="60"/>
      <c r="AG162" s="60"/>
      <c r="AM162" s="269"/>
      <c r="AO162" s="65"/>
      <c r="AP162" s="269"/>
      <c r="AV162" s="202"/>
      <c r="AW162" s="202"/>
    </row>
    <row r="163" spans="1:49" s="61" customFormat="1" x14ac:dyDescent="0.25">
      <c r="A163" s="60"/>
      <c r="I163" s="68"/>
      <c r="J163" s="68"/>
      <c r="K163" s="68"/>
      <c r="L163" s="68"/>
      <c r="M163" s="68"/>
      <c r="Y163" s="60"/>
      <c r="Z163" s="60"/>
      <c r="AA163" s="113"/>
      <c r="AB163" s="60"/>
      <c r="AC163" s="60"/>
      <c r="AD163" s="60"/>
      <c r="AE163" s="60"/>
      <c r="AF163" s="60"/>
      <c r="AG163" s="60"/>
      <c r="AM163" s="269"/>
      <c r="AO163" s="65"/>
      <c r="AP163" s="269"/>
      <c r="AV163" s="202"/>
      <c r="AW163" s="202"/>
    </row>
    <row r="164" spans="1:49" s="61" customFormat="1" x14ac:dyDescent="0.25">
      <c r="A164" s="60"/>
      <c r="I164" s="68"/>
      <c r="J164" s="68"/>
      <c r="K164" s="68"/>
      <c r="L164" s="68"/>
      <c r="M164" s="68"/>
      <c r="Y164" s="60"/>
      <c r="Z164" s="60"/>
      <c r="AA164" s="60"/>
      <c r="AB164" s="60"/>
      <c r="AC164" s="60"/>
      <c r="AD164" s="60"/>
      <c r="AE164" s="60"/>
      <c r="AF164" s="60"/>
      <c r="AG164" s="60"/>
      <c r="AM164" s="269"/>
      <c r="AO164" s="65"/>
      <c r="AP164" s="269"/>
      <c r="AV164" s="202"/>
      <c r="AW164" s="202"/>
    </row>
    <row r="165" spans="1:49" s="61" customFormat="1" x14ac:dyDescent="0.25">
      <c r="A165" s="60"/>
      <c r="I165" s="68"/>
      <c r="J165" s="68"/>
      <c r="K165" s="68"/>
      <c r="L165" s="68"/>
      <c r="M165" s="68"/>
      <c r="AM165" s="269"/>
      <c r="AO165" s="65"/>
      <c r="AP165" s="269"/>
      <c r="AV165" s="202"/>
      <c r="AW165" s="202"/>
    </row>
    <row r="166" spans="1:49" s="61" customFormat="1" x14ac:dyDescent="0.25">
      <c r="A166" s="60"/>
      <c r="I166" s="68"/>
      <c r="J166" s="68"/>
      <c r="K166" s="68"/>
      <c r="L166" s="68"/>
      <c r="M166" s="68"/>
      <c r="AM166" s="269"/>
      <c r="AO166" s="65"/>
      <c r="AP166" s="269"/>
      <c r="AV166" s="202"/>
      <c r="AW166" s="202"/>
    </row>
    <row r="167" spans="1:49" s="61" customFormat="1" x14ac:dyDescent="0.25">
      <c r="A167" s="60"/>
      <c r="I167" s="68"/>
      <c r="J167" s="68"/>
      <c r="K167" s="68"/>
      <c r="L167" s="68"/>
      <c r="M167" s="68"/>
      <c r="AM167" s="269"/>
      <c r="AO167" s="65"/>
      <c r="AP167" s="269"/>
      <c r="AV167" s="202"/>
      <c r="AW167" s="202"/>
    </row>
    <row r="168" spans="1:49" s="61" customFormat="1" x14ac:dyDescent="0.25">
      <c r="A168" s="60"/>
      <c r="I168" s="68"/>
      <c r="J168" s="68"/>
      <c r="K168" s="68"/>
      <c r="L168" s="68"/>
      <c r="M168" s="68"/>
      <c r="AM168" s="269"/>
      <c r="AO168" s="65"/>
      <c r="AP168" s="269"/>
      <c r="AV168" s="202"/>
      <c r="AW168" s="202"/>
    </row>
    <row r="169" spans="1:49" s="61" customFormat="1" x14ac:dyDescent="0.25">
      <c r="A169" s="60"/>
      <c r="I169" s="68"/>
      <c r="J169" s="68"/>
      <c r="K169" s="68"/>
      <c r="L169" s="68"/>
      <c r="M169" s="68"/>
      <c r="AM169" s="269"/>
      <c r="AO169" s="65"/>
      <c r="AP169" s="269"/>
      <c r="AV169" s="202"/>
      <c r="AW169" s="202"/>
    </row>
    <row r="170" spans="1:49" s="61" customFormat="1" x14ac:dyDescent="0.25">
      <c r="A170" s="60"/>
      <c r="I170" s="68"/>
      <c r="J170" s="68"/>
      <c r="K170" s="68"/>
      <c r="L170" s="68"/>
      <c r="M170" s="68"/>
      <c r="AM170" s="269"/>
      <c r="AO170" s="65"/>
      <c r="AP170" s="269"/>
      <c r="AV170" s="202"/>
      <c r="AW170" s="202"/>
    </row>
    <row r="171" spans="1:49" s="61" customFormat="1" x14ac:dyDescent="0.25">
      <c r="A171" s="60"/>
      <c r="I171" s="68"/>
      <c r="J171" s="68"/>
      <c r="K171" s="68"/>
      <c r="L171" s="68"/>
      <c r="M171" s="68"/>
      <c r="AM171" s="269"/>
      <c r="AO171" s="65"/>
      <c r="AP171" s="269"/>
      <c r="AV171" s="202"/>
      <c r="AW171" s="202"/>
    </row>
    <row r="172" spans="1:49" s="61" customFormat="1" x14ac:dyDescent="0.25">
      <c r="A172" s="60"/>
      <c r="I172" s="68"/>
      <c r="J172" s="68"/>
      <c r="K172" s="68"/>
      <c r="L172" s="68"/>
      <c r="M172" s="68"/>
      <c r="AM172" s="269"/>
      <c r="AO172" s="65"/>
      <c r="AP172" s="269"/>
      <c r="AV172" s="202"/>
      <c r="AW172" s="202"/>
    </row>
    <row r="173" spans="1:49" s="61" customFormat="1" x14ac:dyDescent="0.25">
      <c r="A173" s="60"/>
      <c r="I173" s="68"/>
      <c r="J173" s="68"/>
      <c r="K173" s="68"/>
      <c r="L173" s="68"/>
      <c r="M173" s="68"/>
      <c r="AM173" s="269"/>
      <c r="AO173" s="65"/>
      <c r="AP173" s="269"/>
      <c r="AV173" s="202"/>
      <c r="AW173" s="202"/>
    </row>
    <row r="174" spans="1:49" s="61" customFormat="1" x14ac:dyDescent="0.25">
      <c r="A174" s="60"/>
      <c r="I174" s="68"/>
      <c r="J174" s="68"/>
      <c r="K174" s="68"/>
      <c r="L174" s="68"/>
      <c r="M174" s="68"/>
      <c r="AM174" s="269"/>
      <c r="AO174" s="65"/>
      <c r="AP174" s="269"/>
      <c r="AV174" s="202"/>
      <c r="AW174" s="202"/>
    </row>
    <row r="175" spans="1:49" s="61" customFormat="1" x14ac:dyDescent="0.25">
      <c r="A175" s="60"/>
      <c r="I175" s="68"/>
      <c r="J175" s="68"/>
      <c r="K175" s="68"/>
      <c r="L175" s="68"/>
      <c r="M175" s="68"/>
      <c r="AM175" s="269"/>
      <c r="AO175" s="65"/>
      <c r="AP175" s="269"/>
      <c r="AV175" s="202"/>
      <c r="AW175" s="202"/>
    </row>
    <row r="176" spans="1:49" s="61" customFormat="1" x14ac:dyDescent="0.25">
      <c r="A176" s="60"/>
      <c r="I176" s="68"/>
      <c r="J176" s="68"/>
      <c r="K176" s="68"/>
      <c r="L176" s="68"/>
      <c r="M176" s="68"/>
      <c r="AM176" s="269"/>
      <c r="AO176" s="65"/>
      <c r="AP176" s="269"/>
      <c r="AV176" s="202"/>
      <c r="AW176" s="202"/>
    </row>
    <row r="177" spans="1:49" s="61" customFormat="1" x14ac:dyDescent="0.25">
      <c r="A177" s="60"/>
      <c r="I177" s="68"/>
      <c r="J177" s="68"/>
      <c r="K177" s="68"/>
      <c r="L177" s="68"/>
      <c r="M177" s="68"/>
      <c r="AM177" s="269"/>
      <c r="AO177" s="65"/>
      <c r="AP177" s="269"/>
      <c r="AV177" s="202"/>
      <c r="AW177" s="202"/>
    </row>
    <row r="178" spans="1:49" s="61" customFormat="1" x14ac:dyDescent="0.25">
      <c r="A178" s="60"/>
      <c r="I178" s="68"/>
      <c r="J178" s="68"/>
      <c r="K178" s="68"/>
      <c r="L178" s="68"/>
      <c r="M178" s="68"/>
      <c r="AM178" s="269"/>
      <c r="AO178" s="65"/>
      <c r="AP178" s="269"/>
      <c r="AV178" s="202"/>
      <c r="AW178" s="202"/>
    </row>
    <row r="179" spans="1:49" s="61" customFormat="1" x14ac:dyDescent="0.25">
      <c r="A179" s="60"/>
      <c r="I179" s="68"/>
      <c r="J179" s="68"/>
      <c r="K179" s="68"/>
      <c r="L179" s="68"/>
      <c r="M179" s="68"/>
      <c r="AM179" s="269"/>
      <c r="AO179" s="65"/>
      <c r="AP179" s="269"/>
      <c r="AV179" s="202"/>
      <c r="AW179" s="202"/>
    </row>
    <row r="180" spans="1:49" s="61" customFormat="1" x14ac:dyDescent="0.25">
      <c r="A180" s="60"/>
      <c r="I180" s="68"/>
      <c r="J180" s="68"/>
      <c r="K180" s="68"/>
      <c r="L180" s="68"/>
      <c r="M180" s="68"/>
      <c r="AM180" s="269"/>
      <c r="AO180" s="65"/>
      <c r="AP180" s="269"/>
      <c r="AV180" s="202"/>
      <c r="AW180" s="202"/>
    </row>
    <row r="181" spans="1:49" s="61" customFormat="1" x14ac:dyDescent="0.25">
      <c r="A181" s="60"/>
      <c r="I181" s="68"/>
      <c r="J181" s="68"/>
      <c r="K181" s="68"/>
      <c r="L181" s="68"/>
      <c r="M181" s="68"/>
      <c r="AM181" s="269"/>
      <c r="AO181" s="65"/>
      <c r="AP181" s="269"/>
      <c r="AV181" s="202"/>
      <c r="AW181" s="202"/>
    </row>
    <row r="182" spans="1:49" s="61" customFormat="1" x14ac:dyDescent="0.25">
      <c r="A182" s="60"/>
      <c r="I182" s="68"/>
      <c r="J182" s="68"/>
      <c r="K182" s="68"/>
      <c r="L182" s="68"/>
      <c r="M182" s="68"/>
      <c r="AM182" s="269"/>
      <c r="AO182" s="65"/>
      <c r="AP182" s="269"/>
      <c r="AV182" s="202"/>
      <c r="AW182" s="202"/>
    </row>
    <row r="183" spans="1:49" s="61" customFormat="1" x14ac:dyDescent="0.25">
      <c r="A183" s="60"/>
      <c r="I183" s="68"/>
      <c r="J183" s="68"/>
      <c r="K183" s="68"/>
      <c r="L183" s="68"/>
      <c r="M183" s="68"/>
      <c r="AM183" s="269"/>
      <c r="AO183" s="65"/>
      <c r="AP183" s="269"/>
      <c r="AV183" s="202"/>
      <c r="AW183" s="202"/>
    </row>
    <row r="184" spans="1:49" s="61" customFormat="1" x14ac:dyDescent="0.25">
      <c r="A184" s="60"/>
      <c r="I184" s="68"/>
      <c r="J184" s="68"/>
      <c r="K184" s="68"/>
      <c r="L184" s="68"/>
      <c r="M184" s="68"/>
      <c r="AM184" s="269"/>
      <c r="AO184" s="65"/>
      <c r="AP184" s="269"/>
      <c r="AV184" s="202"/>
      <c r="AW184" s="202"/>
    </row>
  </sheetData>
  <sheetProtection algorithmName="SHA-512" hashValue="8heHOdIpYVOPU7CCcEX0qqZhf/BaiHAqXf50pVjH/X2MG1wDmYVLHcH66QOSsFstHk9zsY87vFzrLxheqiD61Q==" saltValue="Ji8QZmNDsnv+xMD9SMO9jg==" spinCount="100000" sheet="1" selectLockedCells="1"/>
  <dataConsolidate/>
  <mergeCells count="119">
    <mergeCell ref="T2:W2"/>
    <mergeCell ref="L4:M4"/>
    <mergeCell ref="C19:G19"/>
    <mergeCell ref="C20:G20"/>
    <mergeCell ref="C21:G21"/>
    <mergeCell ref="C22:G22"/>
    <mergeCell ref="C23:G23"/>
    <mergeCell ref="C24:G24"/>
    <mergeCell ref="A151:C151"/>
    <mergeCell ref="H151:I151"/>
    <mergeCell ref="O151:Q151"/>
    <mergeCell ref="O143:Q143"/>
    <mergeCell ref="O138:P138"/>
    <mergeCell ref="O139:Q139"/>
    <mergeCell ref="A148:C148"/>
    <mergeCell ref="H148:I148"/>
    <mergeCell ref="O148:Q148"/>
    <mergeCell ref="A149:C149"/>
    <mergeCell ref="H149:I149"/>
    <mergeCell ref="O149:Q149"/>
    <mergeCell ref="A150:C150"/>
    <mergeCell ref="H150:I150"/>
    <mergeCell ref="O150:Q150"/>
    <mergeCell ref="C113:G113"/>
    <mergeCell ref="A155:C155"/>
    <mergeCell ref="H155:I155"/>
    <mergeCell ref="O155:Q155"/>
    <mergeCell ref="A152:C152"/>
    <mergeCell ref="H152:I152"/>
    <mergeCell ref="O152:Q152"/>
    <mergeCell ref="A153:C153"/>
    <mergeCell ref="H153:I153"/>
    <mergeCell ref="O153:Q153"/>
    <mergeCell ref="A154:C154"/>
    <mergeCell ref="H154:I154"/>
    <mergeCell ref="O154:Q154"/>
    <mergeCell ref="A117:A119"/>
    <mergeCell ref="I114:J114"/>
    <mergeCell ref="C103:G103"/>
    <mergeCell ref="A107:A109"/>
    <mergeCell ref="I104:J104"/>
    <mergeCell ref="A140:A142"/>
    <mergeCell ref="O140:Q140"/>
    <mergeCell ref="O141:Q141"/>
    <mergeCell ref="O142:Q142"/>
    <mergeCell ref="C123:G123"/>
    <mergeCell ref="A127:A129"/>
    <mergeCell ref="I124:J124"/>
    <mergeCell ref="C136:G136"/>
    <mergeCell ref="L136:R136"/>
    <mergeCell ref="I137:J137"/>
    <mergeCell ref="C73:G73"/>
    <mergeCell ref="A77:A79"/>
    <mergeCell ref="I74:J74"/>
    <mergeCell ref="C63:G63"/>
    <mergeCell ref="A67:A69"/>
    <mergeCell ref="I64:J64"/>
    <mergeCell ref="C93:G93"/>
    <mergeCell ref="A97:A99"/>
    <mergeCell ref="I94:J94"/>
    <mergeCell ref="C83:G83"/>
    <mergeCell ref="A87:A89"/>
    <mergeCell ref="I84:J84"/>
    <mergeCell ref="A57:A59"/>
    <mergeCell ref="C53:G53"/>
    <mergeCell ref="I54:J54"/>
    <mergeCell ref="T57:T59"/>
    <mergeCell ref="B34:G34"/>
    <mergeCell ref="H34:N34"/>
    <mergeCell ref="B35:G35"/>
    <mergeCell ref="H35:N35"/>
    <mergeCell ref="B36:G36"/>
    <mergeCell ref="H36:N36"/>
    <mergeCell ref="V36:AH36"/>
    <mergeCell ref="V37:AH37"/>
    <mergeCell ref="O28:P28"/>
    <mergeCell ref="B31:O31"/>
    <mergeCell ref="C27:H27"/>
    <mergeCell ref="J27:O27"/>
    <mergeCell ref="J25:O25"/>
    <mergeCell ref="V35:AH35"/>
    <mergeCell ref="B40:P41"/>
    <mergeCell ref="B37:G37"/>
    <mergeCell ref="H37:N37"/>
    <mergeCell ref="O34:U34"/>
    <mergeCell ref="O35:U35"/>
    <mergeCell ref="O36:U36"/>
    <mergeCell ref="O37:U37"/>
    <mergeCell ref="J23:O23"/>
    <mergeCell ref="J24:O24"/>
    <mergeCell ref="AF16:AG16"/>
    <mergeCell ref="AB18:AG18"/>
    <mergeCell ref="P16:AE16"/>
    <mergeCell ref="AF14:AG14"/>
    <mergeCell ref="AF15:AG15"/>
    <mergeCell ref="J26:O26"/>
    <mergeCell ref="V34:AH34"/>
    <mergeCell ref="P14:AE14"/>
    <mergeCell ref="P15:AE15"/>
    <mergeCell ref="J19:O19"/>
    <mergeCell ref="C16:L16"/>
    <mergeCell ref="J20:O20"/>
    <mergeCell ref="C14:L14"/>
    <mergeCell ref="C15:L15"/>
    <mergeCell ref="J21:O21"/>
    <mergeCell ref="J22:O22"/>
    <mergeCell ref="C25:G25"/>
    <mergeCell ref="C26:G26"/>
    <mergeCell ref="L6:N6"/>
    <mergeCell ref="F8:M8"/>
    <mergeCell ref="M11:M12"/>
    <mergeCell ref="AF11:AG12"/>
    <mergeCell ref="AF13:AG13"/>
    <mergeCell ref="C13:L13"/>
    <mergeCell ref="P13:AE13"/>
    <mergeCell ref="R5:T5"/>
    <mergeCell ref="U5:V5"/>
    <mergeCell ref="R6:T6"/>
    <mergeCell ref="U6:V6"/>
  </mergeCells>
  <conditionalFormatting sqref="A136:S144 A27:B27 S27 U27 I27">
    <cfRule type="expression" dxfId="14" priority="101" stopIfTrue="1">
      <formula>$G$4&lt;&gt;"x"</formula>
    </cfRule>
  </conditionalFormatting>
  <conditionalFormatting sqref="R19 T19">
    <cfRule type="expression" dxfId="13" priority="31" stopIfTrue="1">
      <formula>SUM($V$19:$Z$19,$AB$19:$AF$19)=0</formula>
    </cfRule>
  </conditionalFormatting>
  <conditionalFormatting sqref="R20 T20">
    <cfRule type="expression" dxfId="12" priority="30" stopIfTrue="1">
      <formula>SUM($V$20:$Z$20,$AB$20:$AF$20)=0</formula>
    </cfRule>
  </conditionalFormatting>
  <conditionalFormatting sqref="R21 T21">
    <cfRule type="expression" dxfId="11" priority="29" stopIfTrue="1">
      <formula>SUM($V$21:$Z$21,$AB$21:$AF$21)=0</formula>
    </cfRule>
  </conditionalFormatting>
  <conditionalFormatting sqref="R22 T22">
    <cfRule type="expression" dxfId="10" priority="28" stopIfTrue="1">
      <formula>SUM($V$22:$Z$22,$AB$22:$AF$22)=0</formula>
    </cfRule>
  </conditionalFormatting>
  <conditionalFormatting sqref="R23 T23">
    <cfRule type="expression" dxfId="9" priority="27" stopIfTrue="1">
      <formula>SUM($V$23:$Z$23,$AB$23:$AF$23)=0</formula>
    </cfRule>
  </conditionalFormatting>
  <conditionalFormatting sqref="R24 T24">
    <cfRule type="expression" dxfId="8" priority="26" stopIfTrue="1">
      <formula>SUM($V$24:$Z$24,$AB$24:$AF$24)=0</formula>
    </cfRule>
  </conditionalFormatting>
  <conditionalFormatting sqref="R25 T25">
    <cfRule type="expression" dxfId="7" priority="25" stopIfTrue="1">
      <formula>SUM($V$25:$Z$25,$AB$25:$AF$25)=0</formula>
    </cfRule>
  </conditionalFormatting>
  <conditionalFormatting sqref="R26 T26">
    <cfRule type="expression" dxfId="6" priority="24" stopIfTrue="1">
      <formula>SUM($V$26:$Z$26,$AB$26:$AF$26)=0</formula>
    </cfRule>
  </conditionalFormatting>
  <conditionalFormatting sqref="R27 T27 W31:Z31 AB31:AE31">
    <cfRule type="expression" dxfId="5" priority="23" stopIfTrue="1">
      <formula>SUM($R$19:$R$26,$T$19:$T$26)=0</formula>
    </cfRule>
  </conditionalFormatting>
  <conditionalFormatting sqref="O34:O37">
    <cfRule type="cellIs" dxfId="4" priority="4" stopIfTrue="1" operator="equal">
      <formula>0</formula>
    </cfRule>
  </conditionalFormatting>
  <conditionalFormatting sqref="B34:B37">
    <cfRule type="cellIs" dxfId="3" priority="5" stopIfTrue="1" operator="equal">
      <formula>0</formula>
    </cfRule>
  </conditionalFormatting>
  <conditionalFormatting sqref="L5">
    <cfRule type="cellIs" dxfId="2" priority="3" stopIfTrue="1" operator="equal">
      <formula>0</formula>
    </cfRule>
  </conditionalFormatting>
  <conditionalFormatting sqref="L6">
    <cfRule type="cellIs" dxfId="1" priority="2" stopIfTrue="1" operator="equal">
      <formula>0</formula>
    </cfRule>
  </conditionalFormatting>
  <conditionalFormatting sqref="T2">
    <cfRule type="cellIs" dxfId="0" priority="1" stopIfTrue="1" operator="equal">
      <formula>0</formula>
    </cfRule>
  </conditionalFormatting>
  <dataValidations count="8">
    <dataValidation type="list" allowBlank="1" showInputMessage="1" showErrorMessage="1" sqref="C13:L13" xr:uid="{00000000-0002-0000-0200-000000000000}">
      <formula1>$AP$13:$AP$17</formula1>
    </dataValidation>
    <dataValidation type="list" allowBlank="1" showInputMessage="1" showErrorMessage="1" sqref="C14:L14" xr:uid="{00000000-0002-0000-0200-000001000000}">
      <formula1>$AP$18:$AP$22</formula1>
    </dataValidation>
    <dataValidation type="list" allowBlank="1" showInputMessage="1" showErrorMessage="1" sqref="C15:L15" xr:uid="{00000000-0002-0000-0200-000002000000}">
      <formula1>$AP$23:$AP$27</formula1>
    </dataValidation>
    <dataValidation type="list" allowBlank="1" showInputMessage="1" showErrorMessage="1" sqref="C16:L16" xr:uid="{00000000-0002-0000-0200-000003000000}">
      <formula1>$AP$28:$AP$32</formula1>
    </dataValidation>
    <dataValidation type="list" allowBlank="1" showInputMessage="1" showErrorMessage="1" sqref="P13:AE13" xr:uid="{00000000-0002-0000-0200-000004000000}">
      <formula1>$AM$13:$AM$17</formula1>
    </dataValidation>
    <dataValidation type="list" allowBlank="1" showInputMessage="1" showErrorMessage="1" sqref="P14:AE14" xr:uid="{00000000-0002-0000-0200-000005000000}">
      <formula1>$AM$18:$AM$22</formula1>
    </dataValidation>
    <dataValidation type="list" allowBlank="1" showInputMessage="1" showErrorMessage="1" sqref="P15:AE15" xr:uid="{00000000-0002-0000-0200-000006000000}">
      <formula1>$AM$23:$AM$27</formula1>
    </dataValidation>
    <dataValidation type="list" allowBlank="1" showInputMessage="1" showErrorMessage="1" sqref="P16:AE16" xr:uid="{00000000-0002-0000-0200-000007000000}">
      <formula1>$AM$28:$AM$32</formula1>
    </dataValidation>
  </dataValidations>
  <printOptions horizontalCentered="1" verticalCentered="1"/>
  <pageMargins left="0.19685039370078741" right="0.19685039370078741" top="0.35433070866141736" bottom="0.35433070866141736" header="0.15748031496062992" footer="0.51181102362204722"/>
  <pageSetup paperSize="9"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5">
    <tabColor rgb="FFFFC000"/>
    <pageSetUpPr fitToPage="1"/>
  </sheetPr>
  <dimension ref="A1:R40"/>
  <sheetViews>
    <sheetView showGridLines="0" topLeftCell="A16" zoomScale="85" zoomScaleNormal="85" workbookViewId="0">
      <selection activeCell="J9" sqref="J9"/>
    </sheetView>
  </sheetViews>
  <sheetFormatPr defaultColWidth="9.7109375" defaultRowHeight="12.75" x14ac:dyDescent="0.2"/>
  <cols>
    <col min="1" max="1" width="18.28515625" style="36" customWidth="1"/>
    <col min="2" max="2" width="17.85546875" style="37" customWidth="1"/>
    <col min="3" max="3" width="4.85546875" style="110" customWidth="1"/>
    <col min="4" max="4" width="9.140625" style="106" customWidth="1"/>
    <col min="5" max="5" width="5.85546875" style="106" customWidth="1"/>
    <col min="6" max="6" width="4.85546875" style="106" customWidth="1"/>
    <col min="7" max="7" width="6.42578125" style="106" customWidth="1"/>
    <col min="8" max="8" width="8.42578125" style="106" customWidth="1"/>
    <col min="9" max="9" width="2.140625" style="106" bestFit="1" customWidth="1"/>
    <col min="10" max="10" width="5.42578125" style="106" customWidth="1"/>
    <col min="11" max="11" width="6.5703125" style="106" customWidth="1"/>
    <col min="12" max="12" width="5.28515625" style="106" customWidth="1"/>
    <col min="13" max="13" width="6" style="106" customWidth="1"/>
    <col min="14" max="14" width="10.85546875" style="106" customWidth="1"/>
    <col min="15" max="15" width="12.28515625" style="107" customWidth="1"/>
    <col min="16" max="16" width="10.7109375" style="107" customWidth="1"/>
    <col min="17" max="16384" width="9.7109375" style="101"/>
  </cols>
  <sheetData>
    <row r="1" spans="1:17" s="109" customFormat="1" x14ac:dyDescent="0.2">
      <c r="A1" s="37"/>
      <c r="B1" s="37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7" s="109" customFormat="1" x14ac:dyDescent="0.2">
      <c r="A2" s="37"/>
      <c r="B2" s="37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7" s="109" customFormat="1" x14ac:dyDescent="0.2">
      <c r="A3" s="37" t="s">
        <v>32</v>
      </c>
      <c r="B3" s="219" t="str">
        <f>tilasto!B8</f>
        <v>Grönan DC 2</v>
      </c>
      <c r="C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7" s="109" customFormat="1" x14ac:dyDescent="0.2">
      <c r="A4" s="37" t="s">
        <v>33</v>
      </c>
      <c r="B4" s="219" t="str">
        <f>tilasto!B21</f>
        <v>Ohari DC 2</v>
      </c>
      <c r="C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</row>
    <row r="5" spans="1:17" s="109" customFormat="1" x14ac:dyDescent="0.2">
      <c r="A5" s="37"/>
      <c r="B5" s="219"/>
      <c r="C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7" s="109" customFormat="1" x14ac:dyDescent="0.2">
      <c r="A6" s="37"/>
      <c r="B6" s="37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</row>
    <row r="7" spans="1:17" s="109" customFormat="1" x14ac:dyDescent="0.2">
      <c r="A7" s="37"/>
      <c r="B7" s="37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</row>
    <row r="8" spans="1:17" s="109" customFormat="1" ht="89.25" customHeight="1" x14ac:dyDescent="0.2">
      <c r="A8" s="38" t="s">
        <v>4</v>
      </c>
      <c r="B8" s="38" t="s">
        <v>29</v>
      </c>
      <c r="C8" s="120" t="s">
        <v>41</v>
      </c>
      <c r="D8" s="112" t="s">
        <v>13</v>
      </c>
      <c r="E8" s="112" t="s">
        <v>40</v>
      </c>
      <c r="F8" s="112" t="s">
        <v>37</v>
      </c>
      <c r="G8" s="112" t="s">
        <v>14</v>
      </c>
      <c r="H8" s="112" t="s">
        <v>5</v>
      </c>
      <c r="I8" s="112"/>
      <c r="J8" s="112" t="s">
        <v>39</v>
      </c>
      <c r="K8" s="112" t="s">
        <v>38</v>
      </c>
      <c r="L8" s="112" t="s">
        <v>42</v>
      </c>
      <c r="M8" s="112" t="s">
        <v>43</v>
      </c>
      <c r="N8" s="112" t="s">
        <v>27</v>
      </c>
      <c r="O8" s="112" t="s">
        <v>28</v>
      </c>
    </row>
    <row r="9" spans="1:17" s="109" customFormat="1" x14ac:dyDescent="0.2">
      <c r="A9" s="220" t="str">
        <f>IF('Ottelu 1'!A148=0,0,'Ottelu 1'!A148)</f>
        <v>Lindholm Tobias</v>
      </c>
      <c r="B9" s="221" t="str">
        <f t="shared" ref="B9:B16" si="0">$B$3</f>
        <v>Grönan DC 2</v>
      </c>
      <c r="C9" s="222">
        <f>IF(A9=0,0,1)</f>
        <v>1</v>
      </c>
      <c r="D9" s="121">
        <f>'Ottelu 1'!D148</f>
        <v>204</v>
      </c>
      <c r="E9" s="121">
        <f>'Ottelu 1'!E148</f>
        <v>7</v>
      </c>
      <c r="F9" s="121">
        <f>'Ottelu 1'!F148</f>
        <v>4</v>
      </c>
      <c r="G9" s="121">
        <f>'Ottelu 1'!G148</f>
        <v>61</v>
      </c>
      <c r="H9" s="121">
        <f>'Ottelu 1'!H148</f>
        <v>3446</v>
      </c>
      <c r="I9" s="121"/>
      <c r="J9" s="121">
        <f>'Ottelu 1'!J148</f>
        <v>1</v>
      </c>
      <c r="K9" s="121">
        <f>'Ottelu 1'!K148</f>
        <v>3</v>
      </c>
      <c r="L9" s="121">
        <f>'Ottelu 1'!L148</f>
        <v>7</v>
      </c>
      <c r="M9" s="121">
        <f>'Ottelu 1'!M148</f>
        <v>0</v>
      </c>
      <c r="N9" s="122">
        <f>'Ottelu 1'!N148</f>
        <v>16.892156862745097</v>
      </c>
      <c r="O9" s="223">
        <f>'Ottelu 1'!O148</f>
        <v>1</v>
      </c>
      <c r="P9" s="105"/>
      <c r="Q9" s="105"/>
    </row>
    <row r="10" spans="1:17" s="109" customFormat="1" x14ac:dyDescent="0.2">
      <c r="A10" s="224" t="str">
        <f>IF('Ottelu 1'!A149=0,0,'Ottelu 1'!A149)</f>
        <v>Holmström Bjarne</v>
      </c>
      <c r="B10" s="225" t="str">
        <f t="shared" si="0"/>
        <v>Grönan DC 2</v>
      </c>
      <c r="C10" s="126">
        <f>IF(A10=0,0,1)</f>
        <v>1</v>
      </c>
      <c r="D10" s="123">
        <f>'Ottelu 1'!D149</f>
        <v>236</v>
      </c>
      <c r="E10" s="123">
        <f>'Ottelu 1'!E149</f>
        <v>8</v>
      </c>
      <c r="F10" s="123">
        <f>'Ottelu 1'!F149</f>
        <v>6</v>
      </c>
      <c r="G10" s="123">
        <f>'Ottelu 1'!G149</f>
        <v>351</v>
      </c>
      <c r="H10" s="123">
        <f>'Ottelu 1'!H149</f>
        <v>3657</v>
      </c>
      <c r="I10" s="123"/>
      <c r="J10" s="123">
        <f>'Ottelu 1'!J149</f>
        <v>0</v>
      </c>
      <c r="K10" s="123">
        <f>'Ottelu 1'!K149</f>
        <v>2</v>
      </c>
      <c r="L10" s="123">
        <f>'Ottelu 1'!L149</f>
        <v>1</v>
      </c>
      <c r="M10" s="123">
        <f>'Ottelu 1'!M149</f>
        <v>0</v>
      </c>
      <c r="N10" s="124">
        <f>'Ottelu 1'!N149</f>
        <v>15.495762711864407</v>
      </c>
      <c r="O10" s="226">
        <f>'Ottelu 1'!O149</f>
        <v>0.125</v>
      </c>
      <c r="P10" s="105"/>
      <c r="Q10" s="105"/>
    </row>
    <row r="11" spans="1:17" s="109" customFormat="1" x14ac:dyDescent="0.2">
      <c r="A11" s="224" t="str">
        <f>IF('Ottelu 1'!A150=0,0,'Ottelu 1'!A150)</f>
        <v>Aho Jarno</v>
      </c>
      <c r="B11" s="225" t="str">
        <f t="shared" si="0"/>
        <v>Grönan DC 2</v>
      </c>
      <c r="C11" s="126">
        <f>IF(A11=0,0,1)</f>
        <v>1</v>
      </c>
      <c r="D11" s="123">
        <f>'Ottelu 1'!D150</f>
        <v>182</v>
      </c>
      <c r="E11" s="123">
        <f>'Ottelu 1'!E150</f>
        <v>6</v>
      </c>
      <c r="F11" s="123">
        <f>'Ottelu 1'!F150</f>
        <v>3</v>
      </c>
      <c r="G11" s="123">
        <f>'Ottelu 1'!G150</f>
        <v>375</v>
      </c>
      <c r="H11" s="123">
        <f>'Ottelu 1'!H150</f>
        <v>2631</v>
      </c>
      <c r="I11" s="123"/>
      <c r="J11" s="123">
        <f>'Ottelu 1'!J150</f>
        <v>1</v>
      </c>
      <c r="K11" s="123">
        <f>'Ottelu 1'!K150</f>
        <v>3</v>
      </c>
      <c r="L11" s="123">
        <f>'Ottelu 1'!L150</f>
        <v>2</v>
      </c>
      <c r="M11" s="123">
        <f>'Ottelu 1'!M150</f>
        <v>0</v>
      </c>
      <c r="N11" s="124">
        <f>'Ottelu 1'!N150</f>
        <v>14.456043956043956</v>
      </c>
      <c r="O11" s="226">
        <f>'Ottelu 1'!O150</f>
        <v>0.33333333333333331</v>
      </c>
      <c r="P11" s="105"/>
      <c r="Q11" s="105"/>
    </row>
    <row r="12" spans="1:17" s="109" customFormat="1" x14ac:dyDescent="0.2">
      <c r="A12" s="125" t="str">
        <f>IF('Ottelu 1'!A151=0,0,'Ottelu 1'!A151)</f>
        <v>Nyholm Mikael</v>
      </c>
      <c r="B12" s="227" t="str">
        <f t="shared" si="0"/>
        <v>Grönan DC 2</v>
      </c>
      <c r="C12" s="127">
        <f>IF(A12=0,0,1)</f>
        <v>1</v>
      </c>
      <c r="D12" s="111">
        <f>'Ottelu 1'!D151</f>
        <v>266</v>
      </c>
      <c r="E12" s="111">
        <f>'Ottelu 1'!E151</f>
        <v>9</v>
      </c>
      <c r="F12" s="111">
        <f>'Ottelu 1'!F151</f>
        <v>6</v>
      </c>
      <c r="G12" s="111">
        <f>'Ottelu 1'!G151</f>
        <v>652</v>
      </c>
      <c r="H12" s="111">
        <f>'Ottelu 1'!H151</f>
        <v>3857</v>
      </c>
      <c r="I12" s="111"/>
      <c r="J12" s="111">
        <f>'Ottelu 1'!J151</f>
        <v>0</v>
      </c>
      <c r="K12" s="111">
        <f>'Ottelu 1'!K151</f>
        <v>3</v>
      </c>
      <c r="L12" s="111">
        <f>'Ottelu 1'!L151</f>
        <v>4</v>
      </c>
      <c r="M12" s="111">
        <f>'Ottelu 1'!M151</f>
        <v>0</v>
      </c>
      <c r="N12" s="119">
        <f>'Ottelu 1'!N151</f>
        <v>14.5</v>
      </c>
      <c r="O12" s="228">
        <f>'Ottelu 1'!O151</f>
        <v>0.44444444444444442</v>
      </c>
      <c r="P12" s="105"/>
      <c r="Q12" s="105"/>
    </row>
    <row r="13" spans="1:17" s="109" customFormat="1" x14ac:dyDescent="0.2">
      <c r="A13" s="220" t="str">
        <f>A29</f>
        <v>Lindholm Tobias</v>
      </c>
      <c r="B13" s="221" t="str">
        <f t="shared" si="0"/>
        <v>Grönan DC 2</v>
      </c>
      <c r="C13" s="222">
        <f>IF(OR(A13=$A$9,A13=$A$10,A13=$A$11,A13=$A$12),0,1)</f>
        <v>0</v>
      </c>
      <c r="D13" s="121">
        <f>D29</f>
        <v>244</v>
      </c>
      <c r="E13" s="121">
        <f t="shared" ref="E13:O13" si="1">E29</f>
        <v>8</v>
      </c>
      <c r="F13" s="121">
        <f t="shared" si="1"/>
        <v>2</v>
      </c>
      <c r="G13" s="121">
        <f t="shared" si="1"/>
        <v>70</v>
      </c>
      <c r="H13" s="121">
        <f t="shared" si="1"/>
        <v>3938</v>
      </c>
      <c r="I13" s="121">
        <f t="shared" si="1"/>
        <v>0</v>
      </c>
      <c r="J13" s="121">
        <f t="shared" si="1"/>
        <v>2</v>
      </c>
      <c r="K13" s="121">
        <f t="shared" si="1"/>
        <v>6</v>
      </c>
      <c r="L13" s="121">
        <f t="shared" si="1"/>
        <v>8</v>
      </c>
      <c r="M13" s="121">
        <f t="shared" si="1"/>
        <v>0</v>
      </c>
      <c r="N13" s="122">
        <f t="shared" si="1"/>
        <v>16.139344262295083</v>
      </c>
      <c r="O13" s="223">
        <f t="shared" si="1"/>
        <v>1</v>
      </c>
      <c r="P13" s="105"/>
      <c r="Q13" s="105"/>
    </row>
    <row r="14" spans="1:17" s="109" customFormat="1" x14ac:dyDescent="0.2">
      <c r="A14" s="224" t="str">
        <f>A30</f>
        <v>Holmström Bjarne</v>
      </c>
      <c r="B14" s="225" t="str">
        <f t="shared" si="0"/>
        <v>Grönan DC 2</v>
      </c>
      <c r="C14" s="126">
        <f>IF(OR(A14=$A$9,A14=$A$10,A14=$A$11,A14=$A$12),0,1)</f>
        <v>0</v>
      </c>
      <c r="D14" s="123">
        <f t="shared" ref="D14:O14" si="2">D30</f>
        <v>337</v>
      </c>
      <c r="E14" s="123">
        <f t="shared" si="2"/>
        <v>9</v>
      </c>
      <c r="F14" s="123">
        <f t="shared" si="2"/>
        <v>3</v>
      </c>
      <c r="G14" s="123">
        <f t="shared" si="2"/>
        <v>158</v>
      </c>
      <c r="H14" s="123">
        <f t="shared" si="2"/>
        <v>4351</v>
      </c>
      <c r="I14" s="123">
        <f t="shared" si="2"/>
        <v>0</v>
      </c>
      <c r="J14" s="123">
        <f t="shared" si="2"/>
        <v>2</v>
      </c>
      <c r="K14" s="123">
        <f t="shared" si="2"/>
        <v>6</v>
      </c>
      <c r="L14" s="123">
        <f t="shared" si="2"/>
        <v>3</v>
      </c>
      <c r="M14" s="123">
        <f t="shared" si="2"/>
        <v>0</v>
      </c>
      <c r="N14" s="124">
        <f t="shared" si="2"/>
        <v>12.910979228486648</v>
      </c>
      <c r="O14" s="226">
        <f t="shared" si="2"/>
        <v>0.33333333333333331</v>
      </c>
      <c r="P14" s="105"/>
      <c r="Q14" s="105"/>
    </row>
    <row r="15" spans="1:17" s="109" customFormat="1" x14ac:dyDescent="0.2">
      <c r="A15" s="224" t="str">
        <f>A31</f>
        <v>Aho Jarno</v>
      </c>
      <c r="B15" s="225" t="str">
        <f t="shared" si="0"/>
        <v>Grönan DC 2</v>
      </c>
      <c r="C15" s="126">
        <f>IF(OR(A15=$A$9,A15=$A$10,A15=$A$11,A15=$A$12),0,1)</f>
        <v>0</v>
      </c>
      <c r="D15" s="123">
        <f t="shared" ref="D15:O15" si="3">D31</f>
        <v>160</v>
      </c>
      <c r="E15" s="123">
        <f t="shared" si="3"/>
        <v>6</v>
      </c>
      <c r="F15" s="123">
        <f t="shared" si="3"/>
        <v>3</v>
      </c>
      <c r="G15" s="123">
        <f t="shared" si="3"/>
        <v>442</v>
      </c>
      <c r="H15" s="123">
        <f t="shared" si="3"/>
        <v>2564</v>
      </c>
      <c r="I15" s="123">
        <f t="shared" si="3"/>
        <v>0</v>
      </c>
      <c r="J15" s="123">
        <f t="shared" si="3"/>
        <v>1</v>
      </c>
      <c r="K15" s="123">
        <f t="shared" si="3"/>
        <v>3</v>
      </c>
      <c r="L15" s="123">
        <f t="shared" si="3"/>
        <v>3</v>
      </c>
      <c r="M15" s="123">
        <f t="shared" si="3"/>
        <v>0</v>
      </c>
      <c r="N15" s="124">
        <f t="shared" si="3"/>
        <v>16.024999999999999</v>
      </c>
      <c r="O15" s="226">
        <f t="shared" si="3"/>
        <v>0.5</v>
      </c>
      <c r="P15" s="105"/>
      <c r="Q15" s="105"/>
    </row>
    <row r="16" spans="1:17" s="109" customFormat="1" x14ac:dyDescent="0.2">
      <c r="A16" s="125" t="str">
        <f>A32</f>
        <v>Nyholm Mikael</v>
      </c>
      <c r="B16" s="227" t="str">
        <f t="shared" si="0"/>
        <v>Grönan DC 2</v>
      </c>
      <c r="C16" s="127">
        <f>IF(OR(A16=$A$9,A16=$A$10,A16=$A$11,A16=$A$12),0,1)</f>
        <v>0</v>
      </c>
      <c r="D16" s="111">
        <f t="shared" ref="D16:O16" si="4">D32</f>
        <v>229</v>
      </c>
      <c r="E16" s="111">
        <f t="shared" si="4"/>
        <v>8</v>
      </c>
      <c r="F16" s="111">
        <f t="shared" si="4"/>
        <v>3</v>
      </c>
      <c r="G16" s="111">
        <f t="shared" si="4"/>
        <v>70</v>
      </c>
      <c r="H16" s="111">
        <f t="shared" si="4"/>
        <v>3938</v>
      </c>
      <c r="I16" s="111">
        <f t="shared" si="4"/>
        <v>0</v>
      </c>
      <c r="J16" s="111">
        <f t="shared" si="4"/>
        <v>1</v>
      </c>
      <c r="K16" s="111">
        <f t="shared" si="4"/>
        <v>5</v>
      </c>
      <c r="L16" s="111">
        <f t="shared" si="4"/>
        <v>4</v>
      </c>
      <c r="M16" s="111">
        <f t="shared" si="4"/>
        <v>0</v>
      </c>
      <c r="N16" s="119">
        <f t="shared" si="4"/>
        <v>17.196506550218341</v>
      </c>
      <c r="O16" s="228">
        <f t="shared" si="4"/>
        <v>0.5</v>
      </c>
      <c r="P16" s="105"/>
      <c r="Q16" s="105"/>
    </row>
    <row r="17" spans="1:17" s="109" customFormat="1" x14ac:dyDescent="0.2">
      <c r="A17" s="37">
        <v>0</v>
      </c>
      <c r="B17" s="37"/>
      <c r="C17" s="229"/>
      <c r="D17" s="229">
        <v>0</v>
      </c>
      <c r="E17" s="229"/>
      <c r="F17" s="229"/>
      <c r="G17" s="229"/>
      <c r="H17" s="229"/>
      <c r="I17" s="229"/>
      <c r="J17" s="229"/>
      <c r="K17" s="229"/>
      <c r="L17" s="229"/>
      <c r="M17" s="229"/>
      <c r="N17" s="230"/>
      <c r="O17" s="230"/>
      <c r="P17" s="110"/>
    </row>
    <row r="18" spans="1:17" s="109" customFormat="1" ht="21" customHeight="1" x14ac:dyDescent="0.2">
      <c r="A18" s="37">
        <v>0</v>
      </c>
      <c r="B18" s="37"/>
      <c r="C18" s="229"/>
      <c r="D18" s="229">
        <v>0</v>
      </c>
      <c r="E18" s="229"/>
      <c r="F18" s="229"/>
      <c r="G18" s="229"/>
      <c r="H18" s="229"/>
      <c r="I18" s="229"/>
      <c r="J18" s="229"/>
      <c r="K18" s="229"/>
      <c r="L18" s="229"/>
      <c r="M18" s="229"/>
      <c r="N18" s="230"/>
      <c r="O18" s="230"/>
      <c r="P18" s="110"/>
    </row>
    <row r="19" spans="1:17" s="109" customFormat="1" x14ac:dyDescent="0.2">
      <c r="A19" s="220" t="str">
        <f>IF('Ottelu 1'!A152=0,0,'Ottelu 1'!A152)</f>
        <v>Nevalainen Ari</v>
      </c>
      <c r="B19" s="221" t="str">
        <f t="shared" ref="B19:B26" si="5">$B$4</f>
        <v>Ohari DC 2</v>
      </c>
      <c r="C19" s="222">
        <f>IF(A19=0,0,1)</f>
        <v>1</v>
      </c>
      <c r="D19" s="121">
        <f>'Ottelu 1'!D152</f>
        <v>149</v>
      </c>
      <c r="E19" s="121">
        <f>'Ottelu 1'!E152</f>
        <v>6</v>
      </c>
      <c r="F19" s="121">
        <f>'Ottelu 1'!F152</f>
        <v>0</v>
      </c>
      <c r="G19" s="121">
        <f>'Ottelu 1'!G152</f>
        <v>0</v>
      </c>
      <c r="H19" s="121">
        <f>'Ottelu 1'!H152</f>
        <v>3006</v>
      </c>
      <c r="I19" s="121"/>
      <c r="J19" s="121">
        <f>'Ottelu 1'!J152</f>
        <v>2</v>
      </c>
      <c r="K19" s="121">
        <f>'Ottelu 1'!K152</f>
        <v>6</v>
      </c>
      <c r="L19" s="121">
        <f>'Ottelu 1'!L152</f>
        <v>12</v>
      </c>
      <c r="M19" s="121">
        <f>'Ottelu 1'!M152</f>
        <v>0</v>
      </c>
      <c r="N19" s="122">
        <f>'Ottelu 1'!N152</f>
        <v>20.174496644295303</v>
      </c>
      <c r="O19" s="223">
        <f>'Ottelu 1'!O152</f>
        <v>2</v>
      </c>
      <c r="P19" s="105"/>
      <c r="Q19" s="105"/>
    </row>
    <row r="20" spans="1:17" s="109" customFormat="1" x14ac:dyDescent="0.2">
      <c r="A20" s="224" t="str">
        <f>IF('Ottelu 1'!A153=0,0,'Ottelu 1'!A153)</f>
        <v>Partanen Jarkko</v>
      </c>
      <c r="B20" s="225" t="str">
        <f t="shared" si="5"/>
        <v>Ohari DC 2</v>
      </c>
      <c r="C20" s="126">
        <f>IF(A20=0,0,1)</f>
        <v>1</v>
      </c>
      <c r="D20" s="123">
        <f>'Ottelu 1'!D153</f>
        <v>283</v>
      </c>
      <c r="E20" s="123">
        <f>'Ottelu 1'!E153</f>
        <v>9</v>
      </c>
      <c r="F20" s="123">
        <f>'Ottelu 1'!F153</f>
        <v>5</v>
      </c>
      <c r="G20" s="123">
        <f>'Ottelu 1'!G153</f>
        <v>588</v>
      </c>
      <c r="H20" s="123">
        <f>'Ottelu 1'!H153</f>
        <v>3921</v>
      </c>
      <c r="I20" s="123"/>
      <c r="J20" s="123">
        <f>'Ottelu 1'!J153</f>
        <v>1</v>
      </c>
      <c r="K20" s="123">
        <f>'Ottelu 1'!K153</f>
        <v>4</v>
      </c>
      <c r="L20" s="123">
        <f>'Ottelu 1'!L153</f>
        <v>5</v>
      </c>
      <c r="M20" s="123">
        <f>'Ottelu 1'!M153</f>
        <v>0</v>
      </c>
      <c r="N20" s="124">
        <f>'Ottelu 1'!N153</f>
        <v>13.855123674911662</v>
      </c>
      <c r="O20" s="226">
        <f>'Ottelu 1'!O153</f>
        <v>0.55555555555555558</v>
      </c>
      <c r="P20" s="105"/>
      <c r="Q20" s="105"/>
    </row>
    <row r="21" spans="1:17" s="109" customFormat="1" x14ac:dyDescent="0.2">
      <c r="A21" s="224" t="str">
        <f>IF('Ottelu 1'!A154=0,0,'Ottelu 1'!A154)</f>
        <v>Mantila Petri</v>
      </c>
      <c r="B21" s="225" t="str">
        <f t="shared" si="5"/>
        <v>Ohari DC 2</v>
      </c>
      <c r="C21" s="126">
        <f>IF(A21=0,0,1)</f>
        <v>1</v>
      </c>
      <c r="D21" s="123">
        <f>'Ottelu 1'!D154</f>
        <v>231</v>
      </c>
      <c r="E21" s="123">
        <f>'Ottelu 1'!E154</f>
        <v>7</v>
      </c>
      <c r="F21" s="123">
        <f>'Ottelu 1'!F154</f>
        <v>4</v>
      </c>
      <c r="G21" s="123">
        <f>'Ottelu 1'!G154</f>
        <v>41</v>
      </c>
      <c r="H21" s="123">
        <f>'Ottelu 1'!H154</f>
        <v>3466</v>
      </c>
      <c r="I21" s="123"/>
      <c r="J21" s="123">
        <f>'Ottelu 1'!J154</f>
        <v>1</v>
      </c>
      <c r="K21" s="123">
        <f>'Ottelu 1'!K154</f>
        <v>3</v>
      </c>
      <c r="L21" s="123">
        <f>'Ottelu 1'!L154</f>
        <v>2</v>
      </c>
      <c r="M21" s="123">
        <f>'Ottelu 1'!M154</f>
        <v>0</v>
      </c>
      <c r="N21" s="124">
        <f>'Ottelu 1'!N154</f>
        <v>15.004329004329005</v>
      </c>
      <c r="O21" s="226">
        <f>'Ottelu 1'!O154</f>
        <v>0.2857142857142857</v>
      </c>
      <c r="P21" s="105"/>
      <c r="Q21" s="105"/>
    </row>
    <row r="22" spans="1:17" s="232" customFormat="1" x14ac:dyDescent="0.2">
      <c r="A22" s="125" t="str">
        <f>IF('Ottelu 1'!A155=0,0,'Ottelu 1'!A155)</f>
        <v>Lokkinen Marko</v>
      </c>
      <c r="B22" s="227" t="str">
        <f t="shared" si="5"/>
        <v>Ohari DC 2</v>
      </c>
      <c r="C22" s="127">
        <f>IF(A22=0,0,1)</f>
        <v>1</v>
      </c>
      <c r="D22" s="111">
        <f>'Ottelu 1'!D155</f>
        <v>217</v>
      </c>
      <c r="E22" s="111">
        <f>'Ottelu 1'!E155</f>
        <v>8</v>
      </c>
      <c r="F22" s="111">
        <f>'Ottelu 1'!F155</f>
        <v>2</v>
      </c>
      <c r="G22" s="111">
        <f>'Ottelu 1'!G155</f>
        <v>28</v>
      </c>
      <c r="H22" s="111">
        <f>'Ottelu 1'!H155</f>
        <v>3980</v>
      </c>
      <c r="I22" s="111"/>
      <c r="J22" s="111">
        <f>'Ottelu 1'!J155</f>
        <v>2</v>
      </c>
      <c r="K22" s="111">
        <f>'Ottelu 1'!K155</f>
        <v>6</v>
      </c>
      <c r="L22" s="111">
        <f>'Ottelu 1'!L155</f>
        <v>8</v>
      </c>
      <c r="M22" s="111">
        <f>'Ottelu 1'!M155</f>
        <v>0</v>
      </c>
      <c r="N22" s="119">
        <f>'Ottelu 1'!N155</f>
        <v>18.341013824884794</v>
      </c>
      <c r="O22" s="228">
        <f>'Ottelu 1'!O155</f>
        <v>1</v>
      </c>
      <c r="P22" s="231"/>
      <c r="Q22" s="231"/>
    </row>
    <row r="23" spans="1:17" s="109" customFormat="1" x14ac:dyDescent="0.2">
      <c r="A23" s="224" t="str">
        <f>IF('Ottelu 2'!A148=0,0,'Ottelu 2'!A148)</f>
        <v>Nevalainen Ari</v>
      </c>
      <c r="B23" s="225" t="str">
        <f t="shared" si="5"/>
        <v>Ohari DC 2</v>
      </c>
      <c r="C23" s="126">
        <f>IF(OR(A23=$A$19,A23=$A$20,A23=$A$21,A23=$A$22),0,1)</f>
        <v>0</v>
      </c>
      <c r="D23" s="123">
        <f>'Ottelu 2'!D148</f>
        <v>211</v>
      </c>
      <c r="E23" s="123">
        <f>'Ottelu 2'!E148</f>
        <v>8</v>
      </c>
      <c r="F23" s="123">
        <f>'Ottelu 2'!F148</f>
        <v>2</v>
      </c>
      <c r="G23" s="123">
        <f>'Ottelu 2'!G148</f>
        <v>35</v>
      </c>
      <c r="H23" s="123">
        <f>'Ottelu 2'!H148</f>
        <v>3973</v>
      </c>
      <c r="I23" s="123"/>
      <c r="J23" s="123">
        <f>'Ottelu 2'!J148</f>
        <v>2</v>
      </c>
      <c r="K23" s="123">
        <f>'Ottelu 2'!K148</f>
        <v>6</v>
      </c>
      <c r="L23" s="123">
        <f>'Ottelu 2'!L148</f>
        <v>6</v>
      </c>
      <c r="M23" s="123">
        <f>'Ottelu 2'!M148</f>
        <v>0</v>
      </c>
      <c r="N23" s="124">
        <f>'Ottelu 2'!N148</f>
        <v>18.829383886255926</v>
      </c>
      <c r="O23" s="226">
        <f>'Ottelu 2'!O148</f>
        <v>0.75</v>
      </c>
      <c r="P23" s="105"/>
      <c r="Q23" s="105"/>
    </row>
    <row r="24" spans="1:17" s="109" customFormat="1" x14ac:dyDescent="0.2">
      <c r="A24" s="224" t="str">
        <f>IF('Ottelu 2'!A149=0,0,'Ottelu 2'!A149)</f>
        <v>Partanen Jarkko</v>
      </c>
      <c r="B24" s="225" t="str">
        <f t="shared" si="5"/>
        <v>Ohari DC 2</v>
      </c>
      <c r="C24" s="126">
        <f>IF(OR(A24=$A$19,A24=$A$20,A24=$A$21,A24=$A$22),0,1)</f>
        <v>0</v>
      </c>
      <c r="D24" s="123">
        <f>'Ottelu 2'!D149</f>
        <v>177</v>
      </c>
      <c r="E24" s="123">
        <f>'Ottelu 2'!E149</f>
        <v>6</v>
      </c>
      <c r="F24" s="123">
        <f>'Ottelu 2'!F149</f>
        <v>6</v>
      </c>
      <c r="G24" s="123">
        <f>'Ottelu 2'!G149</f>
        <v>574</v>
      </c>
      <c r="H24" s="123">
        <f>'Ottelu 2'!H149</f>
        <v>2432</v>
      </c>
      <c r="I24" s="123"/>
      <c r="J24" s="123">
        <f>'Ottelu 2'!J149</f>
        <v>0</v>
      </c>
      <c r="K24" s="123">
        <f>'Ottelu 2'!K149</f>
        <v>0</v>
      </c>
      <c r="L24" s="123">
        <f>'Ottelu 2'!L149</f>
        <v>1</v>
      </c>
      <c r="M24" s="123">
        <f>'Ottelu 2'!M149</f>
        <v>0</v>
      </c>
      <c r="N24" s="124">
        <f>'Ottelu 2'!N149</f>
        <v>13.740112994350282</v>
      </c>
      <c r="O24" s="226">
        <f>'Ottelu 2'!O149</f>
        <v>0.16666666666666666</v>
      </c>
      <c r="P24" s="105"/>
      <c r="Q24" s="105"/>
    </row>
    <row r="25" spans="1:17" s="109" customFormat="1" x14ac:dyDescent="0.2">
      <c r="A25" s="224" t="str">
        <f>IF('Ottelu 2'!A150=0,0,'Ottelu 2'!A150)</f>
        <v>Mantila Petri</v>
      </c>
      <c r="B25" s="225" t="str">
        <f t="shared" si="5"/>
        <v>Ohari DC 2</v>
      </c>
      <c r="C25" s="126">
        <f>IF(OR(A25=$A$19,A25=$A$20,A25=$A$21,A25=$A$22),0,1)</f>
        <v>0</v>
      </c>
      <c r="D25" s="123">
        <f>'Ottelu 2'!D150</f>
        <v>290</v>
      </c>
      <c r="E25" s="123">
        <f>'Ottelu 2'!E150</f>
        <v>8</v>
      </c>
      <c r="F25" s="123">
        <f>'Ottelu 2'!F150</f>
        <v>6</v>
      </c>
      <c r="G25" s="123">
        <f>'Ottelu 2'!G150</f>
        <v>265</v>
      </c>
      <c r="H25" s="123">
        <f>'Ottelu 2'!H150</f>
        <v>3743</v>
      </c>
      <c r="I25" s="123"/>
      <c r="J25" s="123">
        <f>'Ottelu 2'!J150</f>
        <v>0</v>
      </c>
      <c r="K25" s="123">
        <f>'Ottelu 2'!K150</f>
        <v>2</v>
      </c>
      <c r="L25" s="123">
        <f>'Ottelu 2'!L150</f>
        <v>7</v>
      </c>
      <c r="M25" s="123">
        <f>'Ottelu 2'!M150</f>
        <v>1</v>
      </c>
      <c r="N25" s="124">
        <f>'Ottelu 2'!N150</f>
        <v>12.906896551724138</v>
      </c>
      <c r="O25" s="226">
        <f>'Ottelu 2'!O150</f>
        <v>1</v>
      </c>
      <c r="P25" s="105"/>
      <c r="Q25" s="105"/>
    </row>
    <row r="26" spans="1:17" s="109" customFormat="1" x14ac:dyDescent="0.2">
      <c r="A26" s="125" t="str">
        <f>IF('Ottelu 2'!A151=0,0,'Ottelu 2'!A151)</f>
        <v>Lokkinen Marko</v>
      </c>
      <c r="B26" s="227" t="str">
        <f t="shared" si="5"/>
        <v>Ohari DC 2</v>
      </c>
      <c r="C26" s="127">
        <f>IF(OR(A26=$A$19,A26=$A$20,A26=$A$21,A26=$A$22),0,1)</f>
        <v>0</v>
      </c>
      <c r="D26" s="111">
        <f>'Ottelu 2'!D151</f>
        <v>283</v>
      </c>
      <c r="E26" s="111">
        <f>'Ottelu 2'!E151</f>
        <v>9</v>
      </c>
      <c r="F26" s="111">
        <f>'Ottelu 2'!F151</f>
        <v>6</v>
      </c>
      <c r="G26" s="111">
        <f>'Ottelu 2'!G151</f>
        <v>468</v>
      </c>
      <c r="H26" s="111">
        <f>'Ottelu 2'!H151</f>
        <v>4041</v>
      </c>
      <c r="I26" s="111"/>
      <c r="J26" s="111">
        <f>'Ottelu 2'!J151</f>
        <v>0</v>
      </c>
      <c r="K26" s="111">
        <f>'Ottelu 2'!K151</f>
        <v>3</v>
      </c>
      <c r="L26" s="111">
        <f>'Ottelu 2'!L151</f>
        <v>4</v>
      </c>
      <c r="M26" s="111">
        <f>'Ottelu 2'!M151</f>
        <v>0</v>
      </c>
      <c r="N26" s="119">
        <f>'Ottelu 2'!N151</f>
        <v>14.279151943462898</v>
      </c>
      <c r="O26" s="228">
        <f>'Ottelu 2'!O151</f>
        <v>0.44444444444444442</v>
      </c>
      <c r="P26" s="105"/>
      <c r="Q26" s="105"/>
    </row>
    <row r="27" spans="1:17" s="109" customFormat="1" x14ac:dyDescent="0.2"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30"/>
      <c r="O27" s="230"/>
    </row>
    <row r="28" spans="1:17" s="109" customFormat="1" x14ac:dyDescent="0.2"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30"/>
      <c r="O28" s="230"/>
    </row>
    <row r="29" spans="1:17" s="109" customFormat="1" x14ac:dyDescent="0.2">
      <c r="A29" s="220" t="str">
        <f>IF('Ottelu 2'!A152=0,0,'Ottelu 2'!A152)</f>
        <v>Lindholm Tobias</v>
      </c>
      <c r="B29" s="233"/>
      <c r="C29" s="222">
        <f>IF(A29=0,0,1)</f>
        <v>1</v>
      </c>
      <c r="D29" s="121">
        <f>'Ottelu 2'!D152</f>
        <v>244</v>
      </c>
      <c r="E29" s="121">
        <f>'Ottelu 2'!E152</f>
        <v>8</v>
      </c>
      <c r="F29" s="121">
        <f>'Ottelu 2'!F152</f>
        <v>2</v>
      </c>
      <c r="G29" s="121">
        <f>'Ottelu 2'!G152</f>
        <v>70</v>
      </c>
      <c r="H29" s="121">
        <f>'Ottelu 2'!H152</f>
        <v>3938</v>
      </c>
      <c r="I29" s="121"/>
      <c r="J29" s="121">
        <f>'Ottelu 2'!J152</f>
        <v>2</v>
      </c>
      <c r="K29" s="121">
        <f>'Ottelu 2'!K152</f>
        <v>6</v>
      </c>
      <c r="L29" s="121">
        <f>'Ottelu 2'!L152</f>
        <v>8</v>
      </c>
      <c r="M29" s="121">
        <f>'Ottelu 2'!M152</f>
        <v>0</v>
      </c>
      <c r="N29" s="122">
        <f>'Ottelu 2'!N152</f>
        <v>16.139344262295083</v>
      </c>
      <c r="O29" s="223">
        <f>'Ottelu 2'!O152</f>
        <v>1</v>
      </c>
      <c r="P29" s="105"/>
      <c r="Q29" s="105"/>
    </row>
    <row r="30" spans="1:17" s="109" customFormat="1" x14ac:dyDescent="0.2">
      <c r="A30" s="224" t="str">
        <f>IF('Ottelu 2'!A153=0,0,'Ottelu 2'!A153)</f>
        <v>Holmström Bjarne</v>
      </c>
      <c r="B30" s="234"/>
      <c r="C30" s="126">
        <f>IF(A30=0,0,1)</f>
        <v>1</v>
      </c>
      <c r="D30" s="123">
        <f>'Ottelu 2'!D153</f>
        <v>337</v>
      </c>
      <c r="E30" s="123">
        <f>'Ottelu 2'!E153</f>
        <v>9</v>
      </c>
      <c r="F30" s="123">
        <f>'Ottelu 2'!F153</f>
        <v>3</v>
      </c>
      <c r="G30" s="123">
        <f>'Ottelu 2'!G153</f>
        <v>158</v>
      </c>
      <c r="H30" s="123">
        <f>'Ottelu 2'!H153</f>
        <v>4351</v>
      </c>
      <c r="I30" s="123"/>
      <c r="J30" s="123">
        <f>'Ottelu 2'!J153</f>
        <v>2</v>
      </c>
      <c r="K30" s="123">
        <f>'Ottelu 2'!K153</f>
        <v>6</v>
      </c>
      <c r="L30" s="123">
        <f>'Ottelu 2'!L153</f>
        <v>3</v>
      </c>
      <c r="M30" s="123">
        <f>'Ottelu 2'!M153</f>
        <v>0</v>
      </c>
      <c r="N30" s="124">
        <f>'Ottelu 2'!N153</f>
        <v>12.910979228486648</v>
      </c>
      <c r="O30" s="226">
        <f>'Ottelu 2'!O153</f>
        <v>0.33333333333333331</v>
      </c>
      <c r="P30" s="105"/>
      <c r="Q30" s="105"/>
    </row>
    <row r="31" spans="1:17" s="109" customFormat="1" x14ac:dyDescent="0.2">
      <c r="A31" s="224" t="str">
        <f>IF('Ottelu 2'!A154=0,0,'Ottelu 2'!A154)</f>
        <v>Aho Jarno</v>
      </c>
      <c r="B31" s="234"/>
      <c r="C31" s="126">
        <f>IF(A31=0,0,1)</f>
        <v>1</v>
      </c>
      <c r="D31" s="123">
        <f>'Ottelu 2'!D154</f>
        <v>160</v>
      </c>
      <c r="E31" s="123">
        <f>'Ottelu 2'!E154</f>
        <v>6</v>
      </c>
      <c r="F31" s="123">
        <f>'Ottelu 2'!F154</f>
        <v>3</v>
      </c>
      <c r="G31" s="123">
        <f>'Ottelu 2'!G154</f>
        <v>442</v>
      </c>
      <c r="H31" s="123">
        <f>'Ottelu 2'!H154</f>
        <v>2564</v>
      </c>
      <c r="I31" s="123"/>
      <c r="J31" s="123">
        <f>'Ottelu 2'!J154</f>
        <v>1</v>
      </c>
      <c r="K31" s="123">
        <f>'Ottelu 2'!K154</f>
        <v>3</v>
      </c>
      <c r="L31" s="123">
        <f>'Ottelu 2'!L154</f>
        <v>3</v>
      </c>
      <c r="M31" s="123">
        <f>'Ottelu 2'!M154</f>
        <v>0</v>
      </c>
      <c r="N31" s="124">
        <f>'Ottelu 2'!N154</f>
        <v>16.024999999999999</v>
      </c>
      <c r="O31" s="226">
        <f>'Ottelu 2'!O154</f>
        <v>0.5</v>
      </c>
      <c r="P31" s="105"/>
      <c r="Q31" s="105"/>
    </row>
    <row r="32" spans="1:17" s="232" customFormat="1" x14ac:dyDescent="0.2">
      <c r="A32" s="125" t="str">
        <f>IF('Ottelu 2'!A155=0,0,'Ottelu 2'!A155)</f>
        <v>Nyholm Mikael</v>
      </c>
      <c r="B32" s="235"/>
      <c r="C32" s="127">
        <f>IF(A32=0,0,1)</f>
        <v>1</v>
      </c>
      <c r="D32" s="111">
        <f>'Ottelu 2'!D155</f>
        <v>229</v>
      </c>
      <c r="E32" s="111">
        <f>'Ottelu 2'!E155</f>
        <v>8</v>
      </c>
      <c r="F32" s="111">
        <f>'Ottelu 2'!F155</f>
        <v>3</v>
      </c>
      <c r="G32" s="111">
        <f>'Ottelu 2'!G155</f>
        <v>70</v>
      </c>
      <c r="H32" s="111">
        <f>'Ottelu 2'!H155</f>
        <v>3938</v>
      </c>
      <c r="I32" s="111"/>
      <c r="J32" s="111">
        <f>'Ottelu 2'!J155</f>
        <v>1</v>
      </c>
      <c r="K32" s="111">
        <f>'Ottelu 2'!K155</f>
        <v>5</v>
      </c>
      <c r="L32" s="111">
        <f>'Ottelu 2'!L155</f>
        <v>4</v>
      </c>
      <c r="M32" s="111">
        <f>'Ottelu 2'!M155</f>
        <v>0</v>
      </c>
      <c r="N32" s="119">
        <f>'Ottelu 2'!N155</f>
        <v>17.196506550218341</v>
      </c>
      <c r="O32" s="228">
        <f>'Ottelu 2'!O155</f>
        <v>0.5</v>
      </c>
      <c r="P32" s="231"/>
      <c r="Q32" s="231"/>
    </row>
    <row r="33" spans="1:18" s="109" customFormat="1" x14ac:dyDescent="0.2">
      <c r="C33" s="110"/>
    </row>
    <row r="34" spans="1:18" s="109" customFormat="1" x14ac:dyDescent="0.2">
      <c r="C34" s="110"/>
    </row>
    <row r="35" spans="1:18" s="109" customFormat="1" x14ac:dyDescent="0.2">
      <c r="C35" s="110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</row>
    <row r="36" spans="1:18" s="109" customFormat="1" x14ac:dyDescent="0.2">
      <c r="C36" s="110"/>
      <c r="J36" s="108"/>
      <c r="Q36" s="108"/>
      <c r="R36" s="108"/>
    </row>
    <row r="37" spans="1:18" s="109" customFormat="1" x14ac:dyDescent="0.2">
      <c r="A37" s="37"/>
      <c r="B37" s="37"/>
      <c r="C37" s="110"/>
      <c r="J37" s="108"/>
      <c r="Q37" s="108"/>
      <c r="R37" s="108"/>
    </row>
    <row r="38" spans="1:18" x14ac:dyDescent="0.2">
      <c r="D38" s="101"/>
      <c r="E38" s="101"/>
      <c r="F38" s="101"/>
      <c r="G38" s="101"/>
      <c r="H38" s="101"/>
      <c r="I38" s="101"/>
      <c r="J38" s="108"/>
      <c r="K38" s="101"/>
      <c r="L38" s="101"/>
      <c r="M38" s="101"/>
      <c r="N38" s="101"/>
      <c r="O38" s="101"/>
      <c r="P38" s="101"/>
      <c r="Q38" s="108"/>
      <c r="R38" s="108"/>
    </row>
    <row r="39" spans="1:18" x14ac:dyDescent="0.2">
      <c r="H39" s="101"/>
      <c r="I39" s="101"/>
      <c r="K39" s="101"/>
      <c r="L39" s="101"/>
      <c r="M39" s="101"/>
      <c r="N39" s="101"/>
      <c r="O39" s="101"/>
      <c r="P39" s="101"/>
      <c r="Q39" s="106"/>
      <c r="R39" s="106"/>
    </row>
    <row r="40" spans="1:18" x14ac:dyDescent="0.2">
      <c r="Q40" s="106"/>
      <c r="R40" s="106"/>
    </row>
  </sheetData>
  <sheetProtection password="C5B2" sheet="1" objects="1" scenarios="1" selectLockedCells="1" selectUnlockedCells="1"/>
  <customSheetViews>
    <customSheetView guid="{D7BA83DF-7FB9-4BC8-8608-11C4C7AC2BBD}" scale="85" fitToPage="1" state="hidden">
      <selection activeCell="A12" sqref="A12"/>
      <pageMargins left="0.39370078740157483" right="0.39370078740157483" top="0.59055118110236227" bottom="0.59055118110236227" header="0.51181102362204722" footer="0.51181102362204722"/>
      <printOptions horizontalCentered="1"/>
      <pageSetup paperSize="9" scale="86" fitToHeight="2" orientation="portrait" r:id="rId1"/>
      <headerFooter alignWithMargins="0"/>
    </customSheetView>
  </customSheetView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fitToHeight="2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K29"/>
  <sheetViews>
    <sheetView showGridLines="0" zoomScale="70" zoomScaleNormal="70" workbookViewId="0">
      <selection activeCell="A21" sqref="A21"/>
    </sheetView>
  </sheetViews>
  <sheetFormatPr defaultColWidth="9.140625" defaultRowHeight="15" x14ac:dyDescent="0.2"/>
  <cols>
    <col min="1" max="1" width="94.5703125" style="103" customWidth="1"/>
    <col min="2" max="2" width="1.7109375" style="215" customWidth="1"/>
    <col min="3" max="3" width="2.140625" style="216" customWidth="1"/>
    <col min="4" max="4" width="3.42578125" style="216" customWidth="1"/>
    <col min="5" max="5" width="4.5703125" style="216" customWidth="1"/>
    <col min="6" max="6" width="3.140625" style="216" customWidth="1"/>
    <col min="7" max="11" width="9.140625" style="216"/>
    <col min="12" max="16384" width="9.140625" style="101"/>
  </cols>
  <sheetData>
    <row r="1" spans="1:11" s="100" customFormat="1" ht="8.25" customHeight="1" x14ac:dyDescent="0.2">
      <c r="A1" s="103"/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8" x14ac:dyDescent="0.25">
      <c r="A2" s="246" t="s">
        <v>46</v>
      </c>
    </row>
    <row r="3" spans="1:11" ht="18" x14ac:dyDescent="0.2">
      <c r="A3" s="245" t="s">
        <v>52</v>
      </c>
    </row>
    <row r="4" spans="1:11" ht="35.25" customHeight="1" x14ac:dyDescent="0.2">
      <c r="A4" s="186" t="s">
        <v>56</v>
      </c>
    </row>
    <row r="5" spans="1:11" ht="6.75" customHeight="1" x14ac:dyDescent="0.2">
      <c r="A5" s="117"/>
    </row>
    <row r="6" spans="1:11" ht="19.5" customHeight="1" x14ac:dyDescent="0.2">
      <c r="A6" s="117" t="s">
        <v>54</v>
      </c>
    </row>
    <row r="7" spans="1:11" ht="19.5" customHeight="1" x14ac:dyDescent="0.2">
      <c r="A7" s="117" t="s">
        <v>47</v>
      </c>
    </row>
    <row r="8" spans="1:11" ht="19.5" customHeight="1" x14ac:dyDescent="0.2">
      <c r="A8" s="117" t="s">
        <v>35</v>
      </c>
    </row>
    <row r="9" spans="1:11" ht="19.5" customHeight="1" x14ac:dyDescent="0.2">
      <c r="A9" s="117" t="s">
        <v>57</v>
      </c>
    </row>
    <row r="10" spans="1:11" ht="23.25" customHeight="1" x14ac:dyDescent="0.2">
      <c r="A10" s="273" t="s">
        <v>66</v>
      </c>
    </row>
    <row r="11" spans="1:11" ht="37.5" customHeight="1" x14ac:dyDescent="0.2">
      <c r="A11" s="274" t="s">
        <v>65</v>
      </c>
    </row>
    <row r="12" spans="1:11" ht="18" x14ac:dyDescent="0.2">
      <c r="A12" s="275" t="s">
        <v>53</v>
      </c>
    </row>
    <row r="13" spans="1:11" s="104" customFormat="1" ht="12" customHeight="1" x14ac:dyDescent="0.25">
      <c r="A13" s="116"/>
      <c r="B13" s="217"/>
      <c r="C13" s="218"/>
      <c r="D13" s="218"/>
      <c r="E13" s="218"/>
      <c r="F13" s="218"/>
      <c r="G13" s="218"/>
      <c r="H13" s="218"/>
      <c r="I13" s="218"/>
      <c r="J13" s="218"/>
      <c r="K13" s="218"/>
    </row>
    <row r="14" spans="1:11" x14ac:dyDescent="0.2">
      <c r="A14" s="117" t="s">
        <v>71</v>
      </c>
    </row>
    <row r="15" spans="1:11" x14ac:dyDescent="0.2">
      <c r="A15" s="277" t="s">
        <v>67</v>
      </c>
    </row>
    <row r="16" spans="1:11" x14ac:dyDescent="0.2">
      <c r="A16" s="278" t="s">
        <v>60</v>
      </c>
    </row>
    <row r="17" spans="1:11" ht="34.5" customHeight="1" x14ac:dyDescent="0.2">
      <c r="A17" s="277" t="s">
        <v>68</v>
      </c>
    </row>
    <row r="18" spans="1:11" x14ac:dyDescent="0.2">
      <c r="A18" s="276" t="s">
        <v>36</v>
      </c>
    </row>
    <row r="19" spans="1:11" s="272" customFormat="1" ht="30" x14ac:dyDescent="0.2">
      <c r="A19" s="118" t="s">
        <v>69</v>
      </c>
      <c r="B19" s="270"/>
      <c r="C19" s="271"/>
      <c r="D19" s="271"/>
      <c r="E19" s="271"/>
      <c r="F19" s="271"/>
      <c r="G19" s="271"/>
      <c r="H19" s="271"/>
      <c r="I19" s="271"/>
      <c r="J19" s="271"/>
      <c r="K19" s="271"/>
    </row>
    <row r="20" spans="1:11" x14ac:dyDescent="0.2">
      <c r="A20" s="279" t="s">
        <v>58</v>
      </c>
    </row>
    <row r="21" spans="1:11" ht="38.25" customHeight="1" x14ac:dyDescent="0.2">
      <c r="A21" s="282" t="s">
        <v>73</v>
      </c>
    </row>
    <row r="22" spans="1:11" ht="32.25" customHeight="1" x14ac:dyDescent="0.2">
      <c r="A22" s="279" t="s">
        <v>62</v>
      </c>
    </row>
    <row r="23" spans="1:11" ht="19.5" customHeight="1" x14ac:dyDescent="0.2">
      <c r="A23" s="280" t="s">
        <v>72</v>
      </c>
    </row>
    <row r="24" spans="1:11" ht="8.25" customHeight="1" x14ac:dyDescent="0.2"/>
    <row r="25" spans="1:11" ht="8.25" customHeight="1" x14ac:dyDescent="0.2">
      <c r="A25" s="166"/>
    </row>
    <row r="26" spans="1:11" ht="30.75" customHeight="1" x14ac:dyDescent="0.2">
      <c r="A26" s="118" t="s">
        <v>70</v>
      </c>
    </row>
    <row r="27" spans="1:11" s="100" customFormat="1" ht="33" customHeight="1" x14ac:dyDescent="0.2">
      <c r="A27" s="179" t="s">
        <v>51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</row>
    <row r="28" spans="1:11" ht="55.5" customHeight="1" x14ac:dyDescent="0.2">
      <c r="A28" s="118" t="s">
        <v>59</v>
      </c>
    </row>
    <row r="29" spans="1:11" ht="30" x14ac:dyDescent="0.2">
      <c r="A29" s="247" t="s">
        <v>61</v>
      </c>
    </row>
  </sheetData>
  <sheetProtection password="C272" sheet="1" objects="1" scenarios="1" selectLockedCells="1" selectUnlockedCells="1"/>
  <printOptions horizontalCentered="1" verticalCentered="1"/>
  <pageMargins left="0.32" right="0.47244094488188981" top="0.35" bottom="0.48" header="0.2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2:B14"/>
  <sheetViews>
    <sheetView showGridLines="0" zoomScale="80" zoomScaleNormal="80" workbookViewId="0">
      <selection activeCell="B19" sqref="B19"/>
    </sheetView>
  </sheetViews>
  <sheetFormatPr defaultRowHeight="12.75" x14ac:dyDescent="0.2"/>
  <cols>
    <col min="2" max="2" width="92.5703125" customWidth="1"/>
  </cols>
  <sheetData>
    <row r="2" spans="2:2" ht="54" x14ac:dyDescent="0.2">
      <c r="B2" s="339" t="s">
        <v>97</v>
      </c>
    </row>
    <row r="3" spans="2:2" ht="36" x14ac:dyDescent="0.25">
      <c r="B3" s="340" t="s">
        <v>56</v>
      </c>
    </row>
    <row r="4" spans="2:2" ht="15" x14ac:dyDescent="0.2">
      <c r="B4" s="341" t="s">
        <v>95</v>
      </c>
    </row>
    <row r="5" spans="2:2" ht="78" customHeight="1" x14ac:dyDescent="0.2">
      <c r="B5" s="348" t="s">
        <v>93</v>
      </c>
    </row>
    <row r="6" spans="2:2" ht="32.25" customHeight="1" x14ac:dyDescent="0.25">
      <c r="B6" s="340" t="s">
        <v>53</v>
      </c>
    </row>
    <row r="7" spans="2:2" ht="69" customHeight="1" x14ac:dyDescent="0.2">
      <c r="B7" s="349" t="s">
        <v>92</v>
      </c>
    </row>
    <row r="8" spans="2:2" ht="45" x14ac:dyDescent="0.2">
      <c r="B8" s="342" t="s">
        <v>96</v>
      </c>
    </row>
    <row r="9" spans="2:2" ht="38.25" customHeight="1" x14ac:dyDescent="0.2">
      <c r="B9" s="343" t="s">
        <v>90</v>
      </c>
    </row>
    <row r="10" spans="2:2" ht="55.5" customHeight="1" x14ac:dyDescent="0.2">
      <c r="B10" s="344" t="s">
        <v>91</v>
      </c>
    </row>
    <row r="11" spans="2:2" ht="80.25" x14ac:dyDescent="0.2">
      <c r="B11" s="344" t="s">
        <v>94</v>
      </c>
    </row>
    <row r="12" spans="2:2" ht="30" x14ac:dyDescent="0.2">
      <c r="B12" s="345" t="s">
        <v>87</v>
      </c>
    </row>
    <row r="13" spans="2:2" ht="33.75" customHeight="1" x14ac:dyDescent="0.2">
      <c r="B13" s="346" t="s">
        <v>88</v>
      </c>
    </row>
    <row r="14" spans="2:2" ht="30" x14ac:dyDescent="0.2">
      <c r="B14" s="347" t="s">
        <v>89</v>
      </c>
    </row>
  </sheetData>
  <sheetProtection password="C5B2" sheet="1" objects="1" scenarios="1" selectLockedCells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34</vt:i4>
      </vt:variant>
    </vt:vector>
  </HeadingPairs>
  <TitlesOfParts>
    <vt:vector size="40" baseType="lpstr">
      <vt:lpstr>tilasto</vt:lpstr>
      <vt:lpstr>Ottelu 1</vt:lpstr>
      <vt:lpstr>Ottelu 2</vt:lpstr>
      <vt:lpstr>apuri</vt:lpstr>
      <vt:lpstr>OHJE vanha</vt:lpstr>
      <vt:lpstr>OHJE</vt:lpstr>
      <vt:lpstr>'Ottelu 1'!Ehdot</vt:lpstr>
      <vt:lpstr>'Ottelu 2'!Joukkue_A_aloittaa_ruksilla__x__merkityt_ottelut</vt:lpstr>
      <vt:lpstr>Joukkue_A_aloittaa_ruksilla__x__merkityt_ottelut</vt:lpstr>
      <vt:lpstr>'Ottelu 1'!L</vt:lpstr>
      <vt:lpstr>'Ottelu 2'!L</vt:lpstr>
      <vt:lpstr>'Ottelu 2'!OTTELU_1</vt:lpstr>
      <vt:lpstr>OTTELU_1</vt:lpstr>
      <vt:lpstr>'Ottelu 2'!OTTELU_2</vt:lpstr>
      <vt:lpstr>OTTELU_2</vt:lpstr>
      <vt:lpstr>'Ottelu 2'!OTTELU_3</vt:lpstr>
      <vt:lpstr>OTTELU_3</vt:lpstr>
      <vt:lpstr>'Ottelu 2'!OTTELU_4</vt:lpstr>
      <vt:lpstr>OTTELU_4</vt:lpstr>
      <vt:lpstr>'Ottelu 2'!OTTELU_5</vt:lpstr>
      <vt:lpstr>OTTELU_5</vt:lpstr>
      <vt:lpstr>'Ottelu 2'!OTTELU_6</vt:lpstr>
      <vt:lpstr>OTTELU_6</vt:lpstr>
      <vt:lpstr>'Ottelu 2'!OTTELU_7</vt:lpstr>
      <vt:lpstr>OTTELU_7</vt:lpstr>
      <vt:lpstr>'Ottelu 2'!OTTELU_8</vt:lpstr>
      <vt:lpstr>OTTELU_8</vt:lpstr>
      <vt:lpstr>pekka</vt:lpstr>
      <vt:lpstr>pelaaja2_1</vt:lpstr>
      <vt:lpstr>pelaajat</vt:lpstr>
      <vt:lpstr>'Ottelu 2'!Peli1JoukkueA</vt:lpstr>
      <vt:lpstr>Peli1JoukkueA</vt:lpstr>
      <vt:lpstr>'Ottelu 2'!Peli1JoukkueB</vt:lpstr>
      <vt:lpstr>Peli1JoukkueB</vt:lpstr>
      <vt:lpstr>'Ottelu 2'!top</vt:lpstr>
      <vt:lpstr>top</vt:lpstr>
      <vt:lpstr>'OHJE vanha'!Tulostusalue</vt:lpstr>
      <vt:lpstr>'Ottelu 1'!Tulostusalue</vt:lpstr>
      <vt:lpstr>'Ottelu 2'!Tulostusalue</vt:lpstr>
      <vt:lpstr>tilasto!Tulostusalue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Darts-poytakirja</dc:title>
  <dc:creator>Pasi Halttunen</dc:creator>
  <cp:lastModifiedBy>Jarno Aho</cp:lastModifiedBy>
  <cp:lastPrinted>2022-01-22T08:17:09Z</cp:lastPrinted>
  <dcterms:created xsi:type="dcterms:W3CDTF">2000-08-29T07:02:42Z</dcterms:created>
  <dcterms:modified xsi:type="dcterms:W3CDTF">2022-01-22T13:02:13Z</dcterms:modified>
</cp:coreProperties>
</file>